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8820" tabRatio="835"/>
  </bookViews>
  <sheets>
    <sheet name="汇总表" sheetId="1" r:id="rId1"/>
    <sheet name="明日计划" sheetId="2" r:id="rId2"/>
    <sheet name="1-6#" sheetId="15" r:id="rId3"/>
    <sheet name="7、8#" sheetId="3" r:id="rId4"/>
    <sheet name="9、10、34# " sheetId="4" r:id="rId5"/>
    <sheet name="11、12#" sheetId="5" r:id="rId6"/>
    <sheet name="13、14#" sheetId="6" r:id="rId7"/>
    <sheet name="15、16#" sheetId="7" r:id="rId8"/>
    <sheet name="17-19#" sheetId="8" r:id="rId9"/>
    <sheet name="20~25#" sheetId="9" r:id="rId10"/>
    <sheet name="26~28#" sheetId="10" r:id="rId11"/>
    <sheet name="29、30#" sheetId="11" r:id="rId12"/>
    <sheet name="31~33#" sheetId="12" r:id="rId13"/>
    <sheet name="防雷接地" sheetId="13" r:id="rId14"/>
    <sheet name="电缆敷设" sheetId="14" r:id="rId15"/>
  </sheets>
  <calcPr calcId="144525"/>
</workbook>
</file>

<file path=xl/sharedStrings.xml><?xml version="1.0" encoding="utf-8"?>
<sst xmlns="http://schemas.openxmlformats.org/spreadsheetml/2006/main" count="535" uniqueCount="98">
  <si>
    <t>水电一局施甸中光伏发电项目部日完成工程量统计表</t>
  </si>
  <si>
    <t xml:space="preserve">   工程名称：施甸中光伏发电项目                  日期：2022年12月5日         星期一     天气:晴（7℃-22℃）</t>
  </si>
  <si>
    <t>序号</t>
  </si>
  <si>
    <t>施工内容</t>
  </si>
  <si>
    <t>单位</t>
  </si>
  <si>
    <t>项目总工程量</t>
  </si>
  <si>
    <t>已开工片区总工程量</t>
  </si>
  <si>
    <t>今日完成</t>
  </si>
  <si>
    <t>今日完成百分比</t>
  </si>
  <si>
    <t>累计完成</t>
  </si>
  <si>
    <t>开工片区累计完成百分比</t>
  </si>
  <si>
    <t>累计完成百分比（总量）</t>
  </si>
  <si>
    <t>备注</t>
  </si>
  <si>
    <t>坡改梯</t>
  </si>
  <si>
    <t>组</t>
  </si>
  <si>
    <r>
      <rPr>
        <sz val="18"/>
        <rFont val="宋体"/>
        <charset val="134"/>
      </rPr>
      <t>（一）</t>
    </r>
    <r>
      <rPr>
        <sz val="18"/>
        <color rgb="FFFF0000"/>
        <rFont val="宋体"/>
        <charset val="134"/>
      </rPr>
      <t>2、3、4、5、6、7、8、9、10、11、12、13、14、15、16、17、18、19、20、21、23、24、25、26、27、28、29、30、31、32、33、34#箱变基础浇筑全部完成（32台）。</t>
    </r>
    <r>
      <rPr>
        <sz val="18"/>
        <rFont val="宋体"/>
        <charset val="134"/>
      </rPr>
      <t xml:space="preserve">
（二）1#箱变准备梁板柱支模；22#箱变台阶基础已支模。
（三）接地施工：7、8、9、10、11、12、13、14、34方阵区基本完成。17-19方阵区完成约93%；20-25方阵完成约2%；26-28方阵完成约80%；29、30方阵完成约30%；31-33方阵完成约73%。
（四）西边塘、甘蔗地共计7个方阵区不能坡改梯，只能清表。
（五）电缆分接箱定位完成，准备基础土建施工。
（六）</t>
    </r>
    <r>
      <rPr>
        <sz val="18"/>
        <color rgb="FFFF0000"/>
        <rFont val="宋体"/>
        <charset val="134"/>
      </rPr>
      <t xml:space="preserve">7、8、9、10、34、11、12、13、14#方阵区土建安装工序已施工完成，准备分部工程验收。
</t>
    </r>
    <r>
      <rPr>
        <sz val="18"/>
        <rFont val="宋体"/>
        <charset val="134"/>
      </rPr>
      <t>（七）</t>
    </r>
    <r>
      <rPr>
        <sz val="18"/>
        <color rgb="FFFF0000"/>
        <rFont val="宋体"/>
        <charset val="134"/>
      </rPr>
      <t xml:space="preserve">7、9、10、11、12、13、14、15、16、17、18、19、25、26、27、28、29、30、33、34#箱变已就位完成（20台）。
</t>
    </r>
    <r>
      <rPr>
        <sz val="18"/>
        <rFont val="宋体"/>
        <charset val="134"/>
      </rPr>
      <t>（八）除26#、27#、33#新增外，钻孔基本完成。
（九）电气施工：组军门7-10、34施工完成97%；西边塘完成94%；李为地完成87%；15、16方阵完成5%；三个山完成73%；大平地26-28完成76%；29、30方阵完成25%；响水31-33完成85%。
（十）7#、9#、10#、11#、12#、13#、14#、17#、18#、19#、25#、26#、27#、28#、29#、30#、33#、34#箱变做实验已完成。</t>
    </r>
  </si>
  <si>
    <t>钻孔</t>
  </si>
  <si>
    <t>个</t>
  </si>
  <si>
    <t>钢筋笼制作</t>
  </si>
  <si>
    <t>根</t>
  </si>
  <si>
    <t>浇筑</t>
  </si>
  <si>
    <t>支架安装</t>
  </si>
  <si>
    <t>榀</t>
  </si>
  <si>
    <t>MWp</t>
  </si>
  <si>
    <t>光伏板安装</t>
  </si>
  <si>
    <t>箱变（土建）</t>
  </si>
  <si>
    <t>台</t>
  </si>
  <si>
    <t>逆变器</t>
  </si>
  <si>
    <t>电缆</t>
  </si>
  <si>
    <t>方阵数</t>
  </si>
  <si>
    <t>接地</t>
  </si>
  <si>
    <t>明日施工计划</t>
  </si>
  <si>
    <t xml:space="preserve">一、1-6#方阵区坡改梯50组，钻孔120个，浇筑80个。
二、剩余8台箱变备仓，月底全部完成。
三、17-19电气接地继续施工。
四、17#-19#方阵支架、组件、接地收尾，电气施工。
五、20-25#钻孔收尾，浇筑200根，支架安装10组，组件10组。
六、26#27#28#方阵区钻孔40个，浇筑30根，电气施工。
七、13、14#方阵区收拾场区材料接地、电缆继续施工。
八、29#、30#方阵区支架安装20榀，组件20榀。
九、31#-33#方阵区支架安装5榀，组件5榀，浇筑10根，电器接地施工。
十、组军门逆变器至箱变电缆布线，准备电缆沟回填，电气施工收尾。
十一、雨季施工视天气情况而定。
</t>
  </si>
  <si>
    <t>组军门片区1-6#方阵区日完成工程量统计表</t>
  </si>
  <si>
    <t>总工程量</t>
  </si>
  <si>
    <t>累计完成百分比</t>
  </si>
  <si>
    <t>施工资源</t>
  </si>
  <si>
    <t>人员投入</t>
  </si>
  <si>
    <t>设备投入</t>
  </si>
  <si>
    <t>机械投入</t>
  </si>
  <si>
    <r>
      <rPr>
        <sz val="18"/>
        <rFont val="宋体"/>
        <charset val="134"/>
      </rPr>
      <t xml:space="preserve">
</t>
    </r>
    <r>
      <rPr>
        <sz val="18"/>
        <color rgb="FFFF0000"/>
        <rFont val="宋体"/>
        <charset val="134"/>
      </rPr>
      <t>1、</t>
    </r>
    <r>
      <rPr>
        <sz val="18"/>
        <rFont val="宋体"/>
        <charset val="134"/>
      </rPr>
      <t xml:space="preserve">1#方阵区材料进场道路扩建。
</t>
    </r>
    <r>
      <rPr>
        <sz val="18"/>
        <color rgb="FFFF0000"/>
        <rFont val="宋体"/>
        <charset val="134"/>
      </rPr>
      <t>2、</t>
    </r>
    <r>
      <rPr>
        <sz val="18"/>
        <rFont val="宋体"/>
        <charset val="134"/>
      </rPr>
      <t xml:space="preserve">1#箱变准备梁板柱支模。
</t>
    </r>
  </si>
  <si>
    <t>管理5人，司机8人，测量3人，钻孔9人，浇筑15人，箱变10人，共计50人</t>
  </si>
  <si>
    <t>/</t>
  </si>
  <si>
    <t>挖机5台，潜孔钻机3套。</t>
  </si>
  <si>
    <t>箱变</t>
  </si>
  <si>
    <t>组军门片区7#、8#方阵区日完成工程量统计表</t>
  </si>
  <si>
    <t>7#电气（电缆）施工待补全剩余（50榀）容量后进行统一施工。</t>
  </si>
  <si>
    <t>组军门片区9#、10#、34#方阵区日完成工程量统计表</t>
  </si>
  <si>
    <t>1、基本施工完成</t>
  </si>
  <si>
    <t>西边塘片区11#、12#方阵区日完成工程量统计表</t>
  </si>
  <si>
    <r>
      <rPr>
        <sz val="18"/>
        <rFont val="宋体"/>
        <charset val="134"/>
      </rPr>
      <t>1</t>
    </r>
    <r>
      <rPr>
        <sz val="18"/>
        <color rgb="FFFF0000"/>
        <rFont val="宋体"/>
        <charset val="134"/>
      </rPr>
      <t>、剩余23榀受道路（未征收）、水塘边土地归属影响。</t>
    </r>
  </si>
  <si>
    <t>李为地片区13#、14#方阵区日完成工程量统计表</t>
  </si>
  <si>
    <r>
      <rPr>
        <sz val="18"/>
        <rFont val="宋体"/>
        <charset val="134"/>
      </rPr>
      <t xml:space="preserve">
</t>
    </r>
    <r>
      <rPr>
        <sz val="18"/>
        <color rgb="FFFF0000"/>
        <rFont val="宋体"/>
        <charset val="134"/>
      </rPr>
      <t>1、其余量（81榀）由于地形原因未施工。
2、目前土建施工完成。</t>
    </r>
  </si>
  <si>
    <t>篱笆寨片区15#、16#方阵区日完成工程量统计表</t>
  </si>
  <si>
    <t>1、进场道路扩建0m，累计8160m
2、支架材料倒运</t>
  </si>
  <si>
    <t>管理2人，钻孔2人，司机2人，测量1人，安装66人，共计73人</t>
  </si>
  <si>
    <t>搅拌设备2台套</t>
  </si>
  <si>
    <t>挖机3台，钻机1台套、运输车2台、随车吊一台</t>
  </si>
  <si>
    <t>三个山片区17#-19#方阵区日完成工程量统计表</t>
  </si>
  <si>
    <t>安装收尾，整改。</t>
  </si>
  <si>
    <t>管理员2人，安装20人，共计22人。</t>
  </si>
  <si>
    <t>挖机2台</t>
  </si>
  <si>
    <t>甘蔗地片区20#、21#、22#、23#、24#、25#方阵区日完成工程量统计表</t>
  </si>
  <si>
    <t xml:space="preserve">
1、钻机，孔整改、补孔等  
2、22#箱变台阶基础已支模。      </t>
  </si>
  <si>
    <t>管理人员7人，测量员6人，浇筑18+12人，安装30+22+10人，6人运材料，箱变8人，累计119人。</t>
  </si>
  <si>
    <t>小蜜蜂钻机2台，空压机1台，挖机4台</t>
  </si>
  <si>
    <t>大平地片区26#、27#、28#方阵区日完成工程量统计表</t>
  </si>
  <si>
    <t xml:space="preserve">
</t>
  </si>
  <si>
    <t>测量1人，管理人员2人，司机4人，钻孔4人，浇筑2人，整理材料、文明施工6人，安装6人，共计25人</t>
  </si>
  <si>
    <t>钻机1台，1台空压机，2台挖机，1台装载机</t>
  </si>
  <si>
    <t>响水牛场片区29#、30#方阵区日完成工程量统计表</t>
  </si>
  <si>
    <t>管理人员2人，司机2人，安装41人，浇筑3人，整改4人，共计52人</t>
  </si>
  <si>
    <t>3台挖机</t>
  </si>
  <si>
    <t>响水打帮寨片区31#、32#、33#方阵区日完成工程量统计表</t>
  </si>
  <si>
    <t>1、承台浇筑11个。
2、承台桩浇筑4个，回填孔20个。
3、挖承台孔25个，清孔10个。</t>
  </si>
  <si>
    <t xml:space="preserve">管理人员2人，司机1人，承台浇筑8，安装9人，6人做整改，共计26人   </t>
  </si>
  <si>
    <t>挖机3台</t>
  </si>
  <si>
    <t>防雷接地</t>
  </si>
  <si>
    <t>接地沟开挖</t>
  </si>
  <si>
    <t>米</t>
  </si>
  <si>
    <t xml:space="preserve">1、组军门7、8、9、10、34方阵区基本完成，西边塘11、12方阵基本完成，李为地13、14方阵基本完成，20-25方阵完成约2%，26-28方阵完成约80%，29、30方阵完成约30%，31-33完成约73%。
2、组军门箱变接地施工完成90%.
3、三个山组件接地线安装约完成93%。
</t>
  </si>
  <si>
    <t>光伏板接地扁铁连接</t>
  </si>
  <si>
    <t>管理人员2人，普工22人，共计24人</t>
  </si>
  <si>
    <t>发电机1台</t>
  </si>
  <si>
    <t>挖机1台</t>
  </si>
  <si>
    <t>光伏板接地线连接</t>
  </si>
  <si>
    <t>接地沟焊接</t>
  </si>
  <si>
    <t>接地极</t>
  </si>
  <si>
    <t>接地沟回填</t>
  </si>
  <si>
    <t>电缆敷设</t>
  </si>
  <si>
    <t xml:space="preserve">
1、11/12/13/14/17、18、31、32、33安装线槽及桥架。
2、组军门穿波纹管，做电缆头等</t>
  </si>
  <si>
    <t>线槽安装</t>
  </si>
  <si>
    <t>管理人员4人，拉线15人，安装线槽22人，仓库放线12人，逆变器安装15人，力工22人，共计90人</t>
  </si>
  <si>
    <t>光伏板至逆变连线</t>
  </si>
  <si>
    <t>逆变至箱变连线</t>
  </si>
  <si>
    <t>电缆沟开挖</t>
  </si>
  <si>
    <t>电缆沟回填</t>
  </si>
  <si>
    <t>光伏板公母线连接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</si>
</sst>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2"/>
      <name val="宋体"/>
      <charset val="134"/>
    </font>
    <font>
      <b/>
      <sz val="36"/>
      <name val="宋体"/>
      <charset val="134"/>
    </font>
    <font>
      <sz val="11"/>
      <name val="宋体"/>
      <charset val="134"/>
    </font>
    <font>
      <sz val="18"/>
      <name val="宋体"/>
      <charset val="134"/>
    </font>
    <font>
      <sz val="14"/>
      <name val="宋体"/>
      <charset val="134"/>
    </font>
    <font>
      <sz val="36"/>
      <name val="宋体"/>
      <charset val="134"/>
    </font>
    <font>
      <sz val="18"/>
      <color rgb="FF000000"/>
      <name val="宋体"/>
      <charset val="134"/>
    </font>
    <font>
      <sz val="18"/>
      <color rgb="FFFF0000"/>
      <name val="宋体"/>
      <charset val="134"/>
    </font>
    <font>
      <sz val="12"/>
      <color rgb="FFFF0000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7CAAC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8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10" fontId="3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Font="1">
      <alignment vertical="center"/>
    </xf>
    <xf numFmtId="0" fontId="9" fillId="2" borderId="1" xfId="0" applyFont="1" applyFill="1" applyBorder="1" applyAlignment="1">
      <alignment horizontal="left" vertical="center" wrapText="1" indent="2"/>
    </xf>
    <xf numFmtId="0" fontId="3" fillId="2" borderId="0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7" fillId="2" borderId="0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X28"/>
  <sheetViews>
    <sheetView showGridLines="0" showRowColHeaders="0" tabSelected="1" zoomScale="70" zoomScaleNormal="70" zoomScaleSheetLayoutView="80" topLeftCell="A10" workbookViewId="0">
      <selection activeCell="H13" sqref="H13"/>
    </sheetView>
  </sheetViews>
  <sheetFormatPr defaultColWidth="76" defaultRowHeight="15.6"/>
  <cols>
    <col min="1" max="1" width="27.1166666666667" style="21" customWidth="1"/>
    <col min="2" max="2" width="45" style="21" customWidth="1"/>
    <col min="3" max="3" width="10.1416666666667" style="21" customWidth="1"/>
    <col min="4" max="4" width="12.875" style="21" customWidth="1"/>
    <col min="5" max="5" width="16.5083333333333" style="21" customWidth="1"/>
    <col min="6" max="6" width="9.775" style="21" customWidth="1"/>
    <col min="7" max="8" width="14.0833333333333" style="21" customWidth="1"/>
    <col min="9" max="9" width="19.7083333333333" style="21" customWidth="1"/>
    <col min="10" max="10" width="21.5666666666667" style="21" customWidth="1"/>
    <col min="11" max="11" width="52.1416666666667" style="21" customWidth="1"/>
    <col min="12" max="12" width="91.925" style="21" customWidth="1"/>
    <col min="13" max="256" width="76.9" style="21"/>
    <col min="257" max="16383" width="76.9" style="20"/>
  </cols>
  <sheetData>
    <row r="1" s="17" customFormat="1" ht="82" customHeight="1" spans="1:25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0"/>
      <c r="IX1" s="20"/>
    </row>
    <row r="2" s="36" customFormat="1" ht="45" customHeight="1" spans="1:25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  <c r="HU2" s="39"/>
      <c r="HV2" s="39"/>
      <c r="HW2" s="39"/>
      <c r="HX2" s="39"/>
      <c r="HY2" s="39"/>
      <c r="HZ2" s="39"/>
      <c r="IA2" s="39"/>
      <c r="IB2" s="39"/>
      <c r="IC2" s="39"/>
      <c r="ID2" s="39"/>
      <c r="IE2" s="39"/>
      <c r="IF2" s="39"/>
      <c r="IG2" s="39"/>
      <c r="IH2" s="39"/>
      <c r="II2" s="39"/>
      <c r="IJ2" s="39"/>
      <c r="IK2" s="39"/>
      <c r="IL2" s="39"/>
      <c r="IM2" s="39"/>
      <c r="IN2" s="39"/>
      <c r="IO2" s="39"/>
      <c r="IP2" s="39"/>
      <c r="IQ2" s="39"/>
      <c r="IR2" s="39"/>
      <c r="IS2" s="39"/>
      <c r="IT2" s="39"/>
      <c r="IU2" s="39"/>
      <c r="IV2" s="39"/>
      <c r="IW2" s="41"/>
      <c r="IX2" s="41"/>
    </row>
    <row r="3" s="18" customFormat="1" ht="60" customHeight="1" spans="1:25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4" t="s">
        <v>12</v>
      </c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0"/>
      <c r="IX3" s="20"/>
    </row>
    <row r="4" s="37" customFormat="1" ht="60" customHeight="1" spans="1:257">
      <c r="A4" s="4">
        <v>1</v>
      </c>
      <c r="B4" s="4" t="s">
        <v>13</v>
      </c>
      <c r="C4" s="4" t="s">
        <v>14</v>
      </c>
      <c r="D4" s="4">
        <f>8068</f>
        <v>8068</v>
      </c>
      <c r="E4" s="4">
        <f>'7、8#'!D4+'11、12#'!D4+'13、14#'!D4+'26~28#'!D4+'29、30#'!D4+'31~33#'!D4+'9、10、34# '!D4+'20~25#'!D4+'17-19#'!D4+'15、16#'!D4+'1-6#'!D4</f>
        <v>6501</v>
      </c>
      <c r="F4" s="4">
        <f>'7、8#'!E4+'11、12#'!E4+'13、14#'!E4+'26~28#'!E4+'29、30#'!E4+'31~33#'!E4+'9、10、34# '!E4+'17-19#'!E4+'20~25#'!E4+'15、16#'!E4+'1-6#'!E4</f>
        <v>0</v>
      </c>
      <c r="G4" s="23">
        <f t="shared" ref="G4:G15" si="0">F4/E4</f>
        <v>0</v>
      </c>
      <c r="H4" s="4">
        <f>'7、8#'!G4+'11、12#'!G4+'13、14#'!G4+'26~28#'!G4+'29、30#'!G4+'31~33#'!G4+'9、10、34# '!G4+'17-19#'!G4+'20~25#'!G4+'15、16#'!G4+'1-6#'!G4</f>
        <v>5318</v>
      </c>
      <c r="I4" s="23">
        <f>H4/E4</f>
        <v>0.81802799569297</v>
      </c>
      <c r="J4" s="23">
        <f>H4/E4</f>
        <v>0.81802799569297</v>
      </c>
      <c r="K4" s="43" t="s">
        <v>15</v>
      </c>
      <c r="L4" s="50"/>
      <c r="Q4" s="38"/>
      <c r="R4" s="38"/>
      <c r="Y4" s="38"/>
      <c r="Z4" s="38"/>
      <c r="AG4" s="38"/>
      <c r="AH4" s="38"/>
      <c r="AO4" s="38"/>
      <c r="AP4" s="38"/>
      <c r="AW4" s="38"/>
      <c r="AX4" s="38"/>
      <c r="BE4" s="38"/>
      <c r="BF4" s="38"/>
      <c r="BM4" s="38"/>
      <c r="BN4" s="38"/>
      <c r="BU4" s="38"/>
      <c r="BV4" s="38"/>
      <c r="CC4" s="38"/>
      <c r="CD4" s="38"/>
      <c r="CK4" s="38"/>
      <c r="CL4" s="38"/>
      <c r="CS4" s="38"/>
      <c r="CT4" s="38"/>
      <c r="DA4" s="38"/>
      <c r="DB4" s="38"/>
      <c r="DI4" s="38"/>
      <c r="DJ4" s="38"/>
      <c r="DQ4" s="38"/>
      <c r="DR4" s="38"/>
      <c r="DY4" s="38"/>
      <c r="DZ4" s="38"/>
      <c r="EG4" s="38"/>
      <c r="EH4" s="38"/>
      <c r="EO4" s="38"/>
      <c r="EP4" s="38"/>
      <c r="EW4" s="38"/>
      <c r="EX4" s="38"/>
      <c r="FE4" s="38"/>
      <c r="FF4" s="38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  <c r="IU4" s="40"/>
      <c r="IV4" s="40"/>
      <c r="IW4" s="40"/>
    </row>
    <row r="5" s="18" customFormat="1" ht="60" customHeight="1" spans="1:258">
      <c r="A5" s="5">
        <v>2</v>
      </c>
      <c r="B5" s="4" t="s">
        <v>16</v>
      </c>
      <c r="C5" s="4" t="s">
        <v>17</v>
      </c>
      <c r="D5" s="4">
        <v>32272</v>
      </c>
      <c r="E5" s="4">
        <v>32272</v>
      </c>
      <c r="F5" s="4">
        <f>'7、8#'!E5+'11、12#'!E5+'13、14#'!E5+'26~28#'!E5+'29、30#'!E5+'31~33#'!E5+'9、10、34# '!E5+'17-19#'!E5+'20~25#'!E5+'15、16#'!E5+'1-6#'!E5</f>
        <v>81</v>
      </c>
      <c r="G5" s="23">
        <f t="shared" si="0"/>
        <v>0.00250991571641051</v>
      </c>
      <c r="H5" s="4">
        <f>'7、8#'!G5+'11、12#'!G5+'13、14#'!G5+'26~28#'!G5+'29、30#'!G5+'31~33#'!G5+'9、10、34# '!G5+'17-19#'!G5+'20~25#'!G5+'15、16#'!G5+'1-6#'!G5</f>
        <v>27650</v>
      </c>
      <c r="I5" s="23">
        <f t="shared" ref="I5:I15" si="1">H5/E5</f>
        <v>0.856779871095687</v>
      </c>
      <c r="J5" s="23">
        <f t="shared" ref="J4:J15" si="2">H5/D5</f>
        <v>0.856779871095687</v>
      </c>
      <c r="K5" s="43"/>
      <c r="L5" s="5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0"/>
      <c r="IX5" s="20"/>
    </row>
    <row r="6" s="20" customFormat="1" ht="60" customHeight="1" spans="1:256">
      <c r="A6" s="4">
        <v>3</v>
      </c>
      <c r="B6" s="4" t="s">
        <v>18</v>
      </c>
      <c r="C6" s="4" t="s">
        <v>19</v>
      </c>
      <c r="D6" s="4">
        <v>27124</v>
      </c>
      <c r="E6" s="4">
        <v>27124</v>
      </c>
      <c r="F6" s="4">
        <f>'7、8#'!E6+'11、12#'!E6+'13、14#'!E6+'26~28#'!E6+'29、30#'!E6+'31~33#'!E6+'9、10、34# '!E6+'17-19#'!E6+'20~25#'!E6+'15、16#'!E6+'1-6#'!E6</f>
        <v>0</v>
      </c>
      <c r="G6" s="23">
        <f t="shared" si="0"/>
        <v>0</v>
      </c>
      <c r="H6" s="4">
        <f>'7、8#'!G6+'11、12#'!G6+'13、14#'!G6+'26~28#'!G6+'29、30#'!G6+'31~33#'!G6+'9、10、34# '!G6+'17-19#'!G6+'20~25#'!G6+'15、16#'!G6+'1-6#'!G6</f>
        <v>21401</v>
      </c>
      <c r="I6" s="23">
        <f t="shared" si="1"/>
        <v>0.789006046305855</v>
      </c>
      <c r="J6" s="23">
        <f t="shared" si="2"/>
        <v>0.789006046305855</v>
      </c>
      <c r="K6" s="43"/>
      <c r="L6" s="5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</row>
    <row r="7" s="20" customFormat="1" ht="60" customHeight="1" spans="1:256">
      <c r="A7" s="4">
        <v>4</v>
      </c>
      <c r="B7" s="4" t="s">
        <v>20</v>
      </c>
      <c r="C7" s="4" t="s">
        <v>19</v>
      </c>
      <c r="D7" s="4">
        <v>32272</v>
      </c>
      <c r="E7" s="4">
        <v>32272</v>
      </c>
      <c r="F7" s="4">
        <f>'7、8#'!E7+'11、12#'!E7+'13、14#'!E7+'26~28#'!E7+'29、30#'!E7+'31~33#'!E7+'9、10、34# '!E7+'17-19#'!E7+'20~25#'!E7+'15、16#'!E7+'1-6#'!E7</f>
        <v>271</v>
      </c>
      <c r="G7" s="23">
        <f t="shared" si="0"/>
        <v>0.00839737233515121</v>
      </c>
      <c r="H7" s="4">
        <f>'7、8#'!G7+'11、12#'!G7+'13、14#'!G7+'26~28#'!G7+'29、30#'!G7+'31~33#'!G7+'9、10、34# '!G7+'17-19#'!G7+'20~25#'!G7+'15、16#'!G7+'1-6#'!G7</f>
        <v>25711</v>
      </c>
      <c r="I7" s="23">
        <f t="shared" si="1"/>
        <v>0.796696826970749</v>
      </c>
      <c r="J7" s="23">
        <f t="shared" si="2"/>
        <v>0.796696826970749</v>
      </c>
      <c r="K7" s="43"/>
      <c r="L7" s="5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</row>
    <row r="8" s="37" customFormat="1" ht="60" customHeight="1" spans="1:257">
      <c r="A8" s="10">
        <v>5</v>
      </c>
      <c r="B8" s="10" t="s">
        <v>21</v>
      </c>
      <c r="C8" s="4" t="s">
        <v>22</v>
      </c>
      <c r="D8" s="4">
        <v>8068</v>
      </c>
      <c r="E8" s="4">
        <v>8068</v>
      </c>
      <c r="F8" s="4">
        <f>'7、8#'!E8+'11、12#'!E8+'13、14#'!E8+'26~28#'!E8+'29、30#'!E8+'31~33#'!E8+'9、10、34# '!E8+'17-19#'!E8+'20~25#'!E8+'15、16#'!E8+'1-6#'!E8</f>
        <v>47</v>
      </c>
      <c r="G8" s="23">
        <f t="shared" si="0"/>
        <v>0.00582548339117501</v>
      </c>
      <c r="H8" s="4">
        <f>'7、8#'!G8+'11、12#'!G8+'13、14#'!G8+'26~28#'!G8+'29、30#'!G8+'31~33#'!G8+'9、10、34# '!G8+'17-19#'!G8+'20~25#'!G8+'15、16#'!G8+'1-6#'!G8</f>
        <v>5253</v>
      </c>
      <c r="I8" s="23">
        <f t="shared" si="1"/>
        <v>0.651090728805156</v>
      </c>
      <c r="J8" s="23">
        <f t="shared" si="2"/>
        <v>0.651090728805156</v>
      </c>
      <c r="K8" s="43"/>
      <c r="L8" s="51"/>
      <c r="Q8" s="38"/>
      <c r="R8" s="38"/>
      <c r="Y8" s="38"/>
      <c r="Z8" s="38"/>
      <c r="AG8" s="38"/>
      <c r="AH8" s="38"/>
      <c r="AO8" s="38"/>
      <c r="AP8" s="38"/>
      <c r="AW8" s="38"/>
      <c r="AX8" s="38"/>
      <c r="BE8" s="38"/>
      <c r="BF8" s="38"/>
      <c r="BM8" s="38"/>
      <c r="BN8" s="38"/>
      <c r="BU8" s="38"/>
      <c r="BV8" s="38"/>
      <c r="CC8" s="38"/>
      <c r="CD8" s="38"/>
      <c r="CK8" s="38"/>
      <c r="CL8" s="38"/>
      <c r="CS8" s="38"/>
      <c r="CT8" s="38"/>
      <c r="DA8" s="38"/>
      <c r="DB8" s="38"/>
      <c r="DI8" s="38"/>
      <c r="DJ8" s="38"/>
      <c r="DQ8" s="38"/>
      <c r="DR8" s="38"/>
      <c r="DY8" s="38"/>
      <c r="DZ8" s="38"/>
      <c r="EG8" s="38"/>
      <c r="EH8" s="38"/>
      <c r="EO8" s="38"/>
      <c r="EP8" s="38"/>
      <c r="EW8" s="38"/>
      <c r="EX8" s="38"/>
      <c r="FE8" s="38"/>
      <c r="FF8" s="38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  <c r="IU8" s="40"/>
      <c r="IV8" s="40"/>
      <c r="IW8" s="40"/>
    </row>
    <row r="9" s="18" customFormat="1" ht="60" customHeight="1" spans="1:258">
      <c r="A9" s="12"/>
      <c r="B9" s="12"/>
      <c r="C9" s="4" t="s">
        <v>23</v>
      </c>
      <c r="D9" s="4">
        <v>123.45</v>
      </c>
      <c r="E9" s="4">
        <f>'7、8#'!D9+'11、12#'!D9+'13、14#'!D9+'26~28#'!D9+'29、30#'!D9+'31~33#'!D9+'9、10、34# '!D9+'20~25#'!D9+'17-19#'!D9+'15、16#'!D9+'1-6#'!D9</f>
        <v>123.454545454545</v>
      </c>
      <c r="F9" s="4">
        <f>'7、8#'!E9+'11、12#'!E9+'13、14#'!E9+'26~28#'!E9+'29、30#'!E9+'31~33#'!E9+'9、10、34# '!E9+'17-19#'!E9+'20~25#'!E9+'15、16#'!E9+'1-6#'!E9</f>
        <v>0.712121212121212</v>
      </c>
      <c r="G9" s="23">
        <f t="shared" si="0"/>
        <v>0.00576828669612177</v>
      </c>
      <c r="H9" s="4">
        <f>'7、8#'!G9+'11、12#'!G9+'13、14#'!G9+'26~28#'!G9+'29、30#'!G9+'31~33#'!G9+'9、10、34# '!G9+'17-19#'!G9+'20~25#'!G9+'15、16#'!G9+'1-6#'!G9</f>
        <v>79.5151515151515</v>
      </c>
      <c r="I9" s="23">
        <f t="shared" si="1"/>
        <v>0.644084437898873</v>
      </c>
      <c r="J9" s="23">
        <f t="shared" si="2"/>
        <v>0.644108153221154</v>
      </c>
      <c r="K9" s="43"/>
      <c r="L9" s="5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0"/>
      <c r="IX9" s="20"/>
    </row>
    <row r="10" s="18" customFormat="1" ht="60" customHeight="1" spans="1:258">
      <c r="A10" s="10">
        <v>6</v>
      </c>
      <c r="B10" s="10" t="s">
        <v>24</v>
      </c>
      <c r="C10" s="4" t="s">
        <v>22</v>
      </c>
      <c r="D10" s="4">
        <v>8068</v>
      </c>
      <c r="E10" s="4">
        <v>8068</v>
      </c>
      <c r="F10" s="4">
        <f>'7、8#'!E10+'11、12#'!E10+'13、14#'!E10+'26~28#'!E10+'29、30#'!E10+'31~33#'!E10+'9、10、34# '!E10+'17-19#'!E10+'20~25#'!E10+'15、16#'!E10+'1-6#'!E10</f>
        <v>43</v>
      </c>
      <c r="G10" s="23">
        <f t="shared" si="0"/>
        <v>0.00532969757064948</v>
      </c>
      <c r="H10" s="4">
        <f>'7、8#'!G10+'11、12#'!G10+'13、14#'!G10+'26~28#'!G10+'29、30#'!G10+'31~33#'!G10+'9、10、34# '!G10+'17-19#'!G10+'20~25#'!G10+'15、16#'!G10+'1-6#'!G10</f>
        <v>4904</v>
      </c>
      <c r="I10" s="23">
        <f t="shared" si="1"/>
        <v>0.607833415964303</v>
      </c>
      <c r="J10" s="23">
        <f t="shared" si="2"/>
        <v>0.607833415964303</v>
      </c>
      <c r="K10" s="43"/>
      <c r="L10" s="5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0"/>
      <c r="IX10" s="20"/>
    </row>
    <row r="11" s="20" customFormat="1" ht="60" customHeight="1" spans="1:256">
      <c r="A11" s="12"/>
      <c r="B11" s="12"/>
      <c r="C11" s="4" t="s">
        <v>23</v>
      </c>
      <c r="D11" s="4">
        <v>123.45</v>
      </c>
      <c r="E11" s="4">
        <f>'7、8#'!D11+'11、12#'!D11+'13、14#'!D11+'26~28#'!D11+'29、30#'!D11+'31~33#'!D11+'9、10、34# '!D11+'20~25#'!D11+'17-19#'!D11+'15、16#'!D11+'1-6#'!D11</f>
        <v>123.454545454545</v>
      </c>
      <c r="F11" s="4">
        <f>'7、8#'!E11+'11、12#'!E11+'13、14#'!E11+'26~28#'!E11+'29、30#'!E11+'31~33#'!E11+'9、10、34# '!E11+'17-19#'!E11+'20~25#'!E11+'15、16#'!E11+'1-6#'!E11</f>
        <v>0.651515151515151</v>
      </c>
      <c r="G11" s="23">
        <f t="shared" si="0"/>
        <v>0.00527736867943055</v>
      </c>
      <c r="H11" s="4">
        <f>'7、8#'!G11+'11、12#'!G11+'13、14#'!G11+'26~28#'!G11+'29、30#'!G11+'31~33#'!G11+'9、10、34# '!G11+'17-19#'!G11+'20~25#'!G11+'15、16#'!G11+'1-6#'!G11</f>
        <v>74.3030303030303</v>
      </c>
      <c r="I11" s="23">
        <f t="shared" si="1"/>
        <v>0.601865488463429</v>
      </c>
      <c r="J11" s="23">
        <f t="shared" si="2"/>
        <v>0.601887649275256</v>
      </c>
      <c r="K11" s="43"/>
      <c r="L11" s="18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</row>
    <row r="12" s="20" customFormat="1" ht="90" customHeight="1" spans="1:256">
      <c r="A12" s="4">
        <v>7</v>
      </c>
      <c r="B12" s="4" t="s">
        <v>25</v>
      </c>
      <c r="C12" s="4" t="s">
        <v>26</v>
      </c>
      <c r="D12" s="4">
        <v>34</v>
      </c>
      <c r="E12" s="4">
        <f>'7、8#'!D12+'11、12#'!D12+'13、14#'!D12+'26~28#'!D12+'29、30#'!D12+'31~33#'!D12+'9、10、34# '!D12+'20~25#'!D12+'17-19#'!D12+'15、16#'!D12+'1-6#'!D12</f>
        <v>34</v>
      </c>
      <c r="F12" s="4">
        <f>'7、8#'!E12+'11、12#'!E12+'13、14#'!E12+'26~28#'!E12+'29、30#'!E12+'31~33#'!E12+'9、10、34# '!E12+'17-19#'!E12+'20~25#'!E12+'15、16#'!E12+'1-6#'!E12</f>
        <v>0</v>
      </c>
      <c r="G12" s="23">
        <f t="shared" si="0"/>
        <v>0</v>
      </c>
      <c r="H12" s="4">
        <f>'7、8#'!G12+'11、12#'!G12+'13、14#'!G12+'26~28#'!G12+'29、30#'!G12+'31~33#'!G12+'9、10、34# '!G12+'17-19#'!G12+'20~25#'!G12+'15、16#'!G12+'1-6#'!G12</f>
        <v>32</v>
      </c>
      <c r="I12" s="23">
        <f t="shared" si="1"/>
        <v>0.941176470588235</v>
      </c>
      <c r="J12" s="23">
        <f t="shared" si="2"/>
        <v>0.941176470588235</v>
      </c>
      <c r="K12" s="43"/>
      <c r="L12" s="18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</row>
    <row r="13" s="20" customFormat="1" ht="90" customHeight="1" spans="1:256">
      <c r="A13" s="4">
        <v>8</v>
      </c>
      <c r="B13" s="4" t="s">
        <v>27</v>
      </c>
      <c r="C13" s="4" t="s">
        <v>26</v>
      </c>
      <c r="D13" s="4">
        <v>512</v>
      </c>
      <c r="E13" s="4">
        <v>512</v>
      </c>
      <c r="F13" s="4">
        <f>'7、8#'!E13+'11、12#'!E13+'13、14#'!E13+'26~28#'!E13+'29、30#'!E13+'31~33#'!E13+'9、10、34# '!E13+'17-19#'!E13+'20~25#'!E13+'15、16#'!E13+'1-6#'!E13</f>
        <v>0</v>
      </c>
      <c r="G13" s="23">
        <f t="shared" si="0"/>
        <v>0</v>
      </c>
      <c r="H13" s="4">
        <f>'7、8#'!G13+'11、12#'!G13+'13、14#'!G13+'26~28#'!G13+'29、30#'!G13+'31~33#'!G13+'9、10、34# '!G13+'17-19#'!G13+'20~25#'!G13+'15、16#'!G13+'1-6#'!G13</f>
        <v>252</v>
      </c>
      <c r="I13" s="23">
        <f t="shared" si="1"/>
        <v>0.4921875</v>
      </c>
      <c r="J13" s="23">
        <f t="shared" si="2"/>
        <v>0.4921875</v>
      </c>
      <c r="K13" s="43"/>
      <c r="L13" s="18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</row>
    <row r="14" s="37" customFormat="1" ht="90" customHeight="1" spans="1:257">
      <c r="A14" s="4">
        <v>9</v>
      </c>
      <c r="B14" s="4" t="s">
        <v>28</v>
      </c>
      <c r="C14" s="4" t="s">
        <v>29</v>
      </c>
      <c r="D14" s="4">
        <v>34</v>
      </c>
      <c r="E14" s="4">
        <f>'7、8#'!D14+'11、12#'!D14+'13、14#'!D14+'26~28#'!D14+'29、30#'!D14+'31~33#'!D14+'9、10、34# '!D14+'20~25#'!D14+'17-19#'!D14+'15、16#'!D14+'1-6#'!D14</f>
        <v>34</v>
      </c>
      <c r="F14" s="4">
        <f>'7、8#'!E14+'11、12#'!E14+'13、14#'!E14+'26~28#'!E14+'29、30#'!E14+'31~33#'!E14+'9、10、34# '!E14+'17-19#'!E14+'20~25#'!E14+'15、16#'!E14+'1-6#'!E14</f>
        <v>0.5</v>
      </c>
      <c r="G14" s="23">
        <f t="shared" si="0"/>
        <v>0.0147058823529412</v>
      </c>
      <c r="H14" s="4">
        <f>'7、8#'!G14+'11、12#'!G14+'13、14#'!G14+'26~28#'!G14+'29、30#'!G14+'31~33#'!G14+'9、10、34# '!G14+'17-19#'!G14+'20~25#'!G14+'15、16#'!G14+'1-6#'!G14</f>
        <v>16.6</v>
      </c>
      <c r="I14" s="23">
        <f t="shared" si="1"/>
        <v>0.488235294117647</v>
      </c>
      <c r="J14" s="23">
        <f t="shared" si="2"/>
        <v>0.488235294117647</v>
      </c>
      <c r="K14" s="43"/>
      <c r="L14" s="18"/>
      <c r="Q14" s="38"/>
      <c r="R14" s="38"/>
      <c r="Y14" s="38"/>
      <c r="Z14" s="38"/>
      <c r="AG14" s="38"/>
      <c r="AH14" s="38"/>
      <c r="AO14" s="38"/>
      <c r="AP14" s="38"/>
      <c r="AW14" s="38"/>
      <c r="AX14" s="38"/>
      <c r="BE14" s="38"/>
      <c r="BF14" s="38"/>
      <c r="BM14" s="38"/>
      <c r="BN14" s="38"/>
      <c r="BU14" s="38"/>
      <c r="BV14" s="38"/>
      <c r="CC14" s="38"/>
      <c r="CD14" s="38"/>
      <c r="CK14" s="38"/>
      <c r="CL14" s="38"/>
      <c r="CS14" s="38"/>
      <c r="CT14" s="38"/>
      <c r="DA14" s="38"/>
      <c r="DB14" s="38"/>
      <c r="DI14" s="38"/>
      <c r="DJ14" s="38"/>
      <c r="DQ14" s="38"/>
      <c r="DR14" s="38"/>
      <c r="DY14" s="38"/>
      <c r="DZ14" s="38"/>
      <c r="EG14" s="38"/>
      <c r="EH14" s="38"/>
      <c r="EO14" s="38"/>
      <c r="EP14" s="38"/>
      <c r="EW14" s="38"/>
      <c r="EX14" s="38"/>
      <c r="FE14" s="38"/>
      <c r="FF14" s="38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  <c r="IU14" s="40"/>
      <c r="IV14" s="40"/>
      <c r="IW14" s="40"/>
    </row>
    <row r="15" s="37" customFormat="1" ht="93" customHeight="1" spans="1:257">
      <c r="A15" s="4">
        <v>10</v>
      </c>
      <c r="B15" s="4" t="s">
        <v>30</v>
      </c>
      <c r="C15" s="4" t="s">
        <v>29</v>
      </c>
      <c r="D15" s="4">
        <v>34</v>
      </c>
      <c r="E15" s="4">
        <f>'7、8#'!D15+'11、12#'!D15+'13、14#'!D15+'26~28#'!D15+'29、30#'!D15+'31~33#'!D15+'9、10、34# '!D15+'20~25#'!D15+'17-19#'!D15+'15、16#'!D15+'1-6#'!D15</f>
        <v>34</v>
      </c>
      <c r="F15" s="4">
        <f>'7、8#'!E15+'11、12#'!E15+'13、14#'!E15+'26~28#'!E15+'29、30#'!E15+'31~33#'!E15+'9、10、34# '!E15+'17-19#'!E15+'20~25#'!E15+'15、16#'!E15+'1-6#'!E15</f>
        <v>0.6</v>
      </c>
      <c r="G15" s="23">
        <f t="shared" si="0"/>
        <v>0.0176470588235294</v>
      </c>
      <c r="H15" s="4">
        <f>'7、8#'!G15+'11、12#'!G15+'13、14#'!G15+'26~28#'!G15+'29、30#'!G15+'31~33#'!G15+'9、10、34# '!G15+'17-19#'!G15+'20~25#'!G15+'15、16#'!G15+'1-6#'!G15</f>
        <v>17</v>
      </c>
      <c r="I15" s="23">
        <f t="shared" si="1"/>
        <v>0.5</v>
      </c>
      <c r="J15" s="23">
        <f t="shared" si="2"/>
        <v>0.5</v>
      </c>
      <c r="K15" s="43"/>
      <c r="L15" s="18"/>
      <c r="Q15" s="38"/>
      <c r="R15" s="38"/>
      <c r="Y15" s="38"/>
      <c r="Z15" s="38"/>
      <c r="AG15" s="38"/>
      <c r="AH15" s="38"/>
      <c r="AO15" s="38"/>
      <c r="AP15" s="38"/>
      <c r="AW15" s="38"/>
      <c r="AX15" s="38"/>
      <c r="BE15" s="38"/>
      <c r="BF15" s="38"/>
      <c r="BM15" s="38"/>
      <c r="BN15" s="38"/>
      <c r="BU15" s="38"/>
      <c r="BV15" s="38"/>
      <c r="CC15" s="38"/>
      <c r="CD15" s="38"/>
      <c r="CK15" s="38"/>
      <c r="CL15" s="38"/>
      <c r="CS15" s="38"/>
      <c r="CT15" s="38"/>
      <c r="DA15" s="38"/>
      <c r="DB15" s="38"/>
      <c r="DI15" s="38"/>
      <c r="DJ15" s="38"/>
      <c r="DQ15" s="38"/>
      <c r="DR15" s="38"/>
      <c r="DY15" s="38"/>
      <c r="DZ15" s="38"/>
      <c r="EG15" s="38"/>
      <c r="EH15" s="38"/>
      <c r="EO15" s="38"/>
      <c r="EP15" s="38"/>
      <c r="EW15" s="38"/>
      <c r="EX15" s="38"/>
      <c r="FE15" s="38"/>
      <c r="FF15" s="38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  <c r="IL15" s="40"/>
      <c r="IM15" s="40"/>
      <c r="IN15" s="40"/>
      <c r="IO15" s="40"/>
      <c r="IP15" s="40"/>
      <c r="IQ15" s="40"/>
      <c r="IR15" s="40"/>
      <c r="IS15" s="40"/>
      <c r="IT15" s="40"/>
      <c r="IU15" s="40"/>
      <c r="IV15" s="40"/>
      <c r="IW15" s="40"/>
    </row>
    <row r="16" s="18" customFormat="1" ht="46" customHeight="1" spans="1:258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52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0"/>
      <c r="IX16" s="20"/>
    </row>
    <row r="17" s="18" customFormat="1" ht="46" customHeight="1" spans="11:258">
      <c r="K17" s="22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0"/>
      <c r="IX17" s="20"/>
    </row>
    <row r="18" s="18" customFormat="1" ht="46" customHeight="1" spans="11:258">
      <c r="K18" s="22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0"/>
      <c r="IX18" s="20"/>
    </row>
    <row r="19" s="20" customFormat="1" ht="42" customHeight="1" spans="1:256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26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</row>
    <row r="20" s="20" customFormat="1" ht="42" customHeight="1" spans="1:256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26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</row>
    <row r="21" s="37" customFormat="1" ht="45.95" customHeight="1" spans="1:257">
      <c r="A21" s="18"/>
      <c r="B21" s="19"/>
      <c r="C21" s="18"/>
      <c r="D21" s="18"/>
      <c r="E21" s="18"/>
      <c r="F21" s="18"/>
      <c r="G21" s="18"/>
      <c r="H21" s="18"/>
      <c r="I21" s="18"/>
      <c r="J21" s="18"/>
      <c r="K21" s="26"/>
      <c r="Q21" s="38"/>
      <c r="R21" s="38"/>
      <c r="Y21" s="38"/>
      <c r="Z21" s="38"/>
      <c r="AG21" s="38"/>
      <c r="AH21" s="38"/>
      <c r="AO21" s="38"/>
      <c r="AP21" s="38"/>
      <c r="AW21" s="38"/>
      <c r="AX21" s="38"/>
      <c r="BE21" s="38"/>
      <c r="BF21" s="38"/>
      <c r="BM21" s="38"/>
      <c r="BN21" s="38"/>
      <c r="BU21" s="38"/>
      <c r="BV21" s="38"/>
      <c r="CC21" s="38"/>
      <c r="CD21" s="38"/>
      <c r="CK21" s="38"/>
      <c r="CL21" s="38"/>
      <c r="CS21" s="38"/>
      <c r="CT21" s="38"/>
      <c r="DA21" s="38"/>
      <c r="DB21" s="38"/>
      <c r="DI21" s="38"/>
      <c r="DJ21" s="38"/>
      <c r="DQ21" s="38"/>
      <c r="DR21" s="38"/>
      <c r="DY21" s="38"/>
      <c r="DZ21" s="38"/>
      <c r="EG21" s="38"/>
      <c r="EH21" s="38"/>
      <c r="EO21" s="38"/>
      <c r="EP21" s="38"/>
      <c r="EW21" s="38"/>
      <c r="EX21" s="38"/>
      <c r="FE21" s="38"/>
      <c r="FF21" s="38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  <c r="IW21" s="40"/>
    </row>
    <row r="22" s="18" customFormat="1" ht="46" customHeight="1" spans="1:258">
      <c r="A22" s="22"/>
      <c r="K22" s="26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0"/>
      <c r="IX22" s="20"/>
    </row>
    <row r="23" s="20" customFormat="1" ht="42" customHeight="1" spans="1:256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26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</row>
    <row r="24" s="20" customFormat="1" ht="42" customHeight="1" spans="1:256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26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</row>
    <row r="25" s="37" customFormat="1" ht="45.95" customHeight="1" spans="1:257">
      <c r="A25" s="18"/>
      <c r="B25" s="19"/>
      <c r="C25" s="18"/>
      <c r="D25" s="18"/>
      <c r="E25" s="18"/>
      <c r="F25" s="18"/>
      <c r="G25" s="18"/>
      <c r="H25" s="18"/>
      <c r="I25" s="18"/>
      <c r="J25" s="18"/>
      <c r="K25" s="26"/>
      <c r="Q25" s="38"/>
      <c r="R25" s="38"/>
      <c r="Y25" s="38"/>
      <c r="Z25" s="38"/>
      <c r="AG25" s="38"/>
      <c r="AH25" s="38"/>
      <c r="AO25" s="38"/>
      <c r="AP25" s="38"/>
      <c r="AW25" s="38"/>
      <c r="AX25" s="38"/>
      <c r="BE25" s="38"/>
      <c r="BF25" s="38"/>
      <c r="BM25" s="38"/>
      <c r="BN25" s="38"/>
      <c r="BU25" s="38"/>
      <c r="BV25" s="38"/>
      <c r="CC25" s="38"/>
      <c r="CD25" s="38"/>
      <c r="CK25" s="38"/>
      <c r="CL25" s="38"/>
      <c r="CS25" s="38"/>
      <c r="CT25" s="38"/>
      <c r="DA25" s="38"/>
      <c r="DB25" s="38"/>
      <c r="DI25" s="38"/>
      <c r="DJ25" s="38"/>
      <c r="DQ25" s="38"/>
      <c r="DR25" s="38"/>
      <c r="DY25" s="38"/>
      <c r="DZ25" s="38"/>
      <c r="EG25" s="38"/>
      <c r="EH25" s="38"/>
      <c r="EO25" s="38"/>
      <c r="EP25" s="38"/>
      <c r="EW25" s="38"/>
      <c r="EX25" s="38"/>
      <c r="FE25" s="38"/>
      <c r="FF25" s="38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  <c r="IW25" s="40"/>
    </row>
    <row r="26" s="18" customFormat="1" ht="46" customHeight="1" spans="1:258">
      <c r="A26" s="22"/>
      <c r="K26" s="26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0"/>
      <c r="IX26" s="20"/>
    </row>
    <row r="27" s="20" customFormat="1" ht="42" customHeight="1" spans="1:256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26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  <c r="IV27" s="21"/>
    </row>
    <row r="28" s="20" customFormat="1" ht="42" customHeight="1" spans="1:256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26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</row>
  </sheetData>
  <mergeCells count="8">
    <mergeCell ref="A1:K1"/>
    <mergeCell ref="A2:K2"/>
    <mergeCell ref="A16:K16"/>
    <mergeCell ref="A8:A9"/>
    <mergeCell ref="A10:A11"/>
    <mergeCell ref="B8:B9"/>
    <mergeCell ref="B10:B11"/>
    <mergeCell ref="K4:K15"/>
  </mergeCell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zoomScale="85" zoomScaleNormal="85" topLeftCell="A10" workbookViewId="0">
      <selection activeCell="I17" sqref="I17"/>
    </sheetView>
  </sheetViews>
  <sheetFormatPr defaultColWidth="9" defaultRowHeight="46" customHeight="1"/>
  <cols>
    <col min="2" max="2" width="18" customWidth="1"/>
    <col min="4" max="4" width="12.3333333333333" customWidth="1"/>
    <col min="5" max="5" width="10" customWidth="1"/>
    <col min="7" max="7" width="19.1666666666667"/>
    <col min="8" max="8" width="13.3333333333333" customWidth="1"/>
    <col min="9" max="9" width="24.6666666666667" customWidth="1"/>
    <col min="10" max="10" width="33" customWidth="1"/>
    <col min="11" max="11" width="46.1666666666667" customWidth="1"/>
  </cols>
  <sheetData>
    <row r="1" customHeight="1" spans="1:11">
      <c r="A1" s="1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customHeight="1" spans="1:11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 t="s">
        <v>12</v>
      </c>
    </row>
    <row r="4" customHeight="1" spans="1:11">
      <c r="A4" s="4">
        <v>1</v>
      </c>
      <c r="B4" s="6" t="s">
        <v>13</v>
      </c>
      <c r="C4" s="4" t="s">
        <v>14</v>
      </c>
      <c r="D4" s="4">
        <v>249</v>
      </c>
      <c r="E4" s="4">
        <v>0</v>
      </c>
      <c r="F4" s="15">
        <f t="shared" ref="F4:F15" si="0">E4/D4</f>
        <v>0</v>
      </c>
      <c r="G4" s="4">
        <f>88+1+4+4+1+5+27+10+6+12+6+6+5+4+4</f>
        <v>183</v>
      </c>
      <c r="H4" s="16">
        <f t="shared" ref="H4:H15" si="1">G4/D4</f>
        <v>0.734939759036145</v>
      </c>
      <c r="I4" s="23" t="s">
        <v>37</v>
      </c>
      <c r="J4" s="5" t="s">
        <v>39</v>
      </c>
      <c r="K4" s="24" t="s">
        <v>63</v>
      </c>
    </row>
    <row r="5" customHeight="1" spans="1:11">
      <c r="A5" s="5">
        <v>2</v>
      </c>
      <c r="B5" s="4" t="s">
        <v>16</v>
      </c>
      <c r="C5" s="4" t="s">
        <v>17</v>
      </c>
      <c r="D5" s="4">
        <v>6144</v>
      </c>
      <c r="E5" s="4">
        <v>0</v>
      </c>
      <c r="F5" s="15">
        <f t="shared" si="0"/>
        <v>0</v>
      </c>
      <c r="G5" s="4">
        <f>3849+199+222+131+140+141+191+146+86+171+159+132+68+58+184+132+77+72+45+44+16+49+37+50</f>
        <v>6399</v>
      </c>
      <c r="H5" s="16">
        <f t="shared" si="1"/>
        <v>1.04150390625</v>
      </c>
      <c r="I5" s="25" t="s">
        <v>64</v>
      </c>
      <c r="J5" s="5" t="s">
        <v>65</v>
      </c>
      <c r="K5" s="24"/>
    </row>
    <row r="6" customHeight="1" spans="1:11">
      <c r="A6" s="4">
        <v>3</v>
      </c>
      <c r="B6" s="4" t="s">
        <v>18</v>
      </c>
      <c r="C6" s="4" t="s">
        <v>19</v>
      </c>
      <c r="D6" s="4">
        <v>996</v>
      </c>
      <c r="E6" s="4">
        <v>0</v>
      </c>
      <c r="F6" s="15">
        <f t="shared" si="0"/>
        <v>0</v>
      </c>
      <c r="G6" s="4">
        <f>80+80+30+130+400+50+50+40+40+40+30+20+6+12</f>
        <v>1008</v>
      </c>
      <c r="H6" s="16">
        <f t="shared" si="1"/>
        <v>1.01204819277108</v>
      </c>
      <c r="I6" s="25"/>
      <c r="J6" s="5"/>
      <c r="K6" s="24"/>
    </row>
    <row r="7" customHeight="1" spans="1:11">
      <c r="A7" s="4">
        <v>4</v>
      </c>
      <c r="B7" s="4" t="s">
        <v>20</v>
      </c>
      <c r="C7" s="4" t="s">
        <v>19</v>
      </c>
      <c r="D7" s="4">
        <v>6144</v>
      </c>
      <c r="E7" s="4">
        <f>12/2+22/2+146/2</f>
        <v>90</v>
      </c>
      <c r="F7" s="15">
        <f t="shared" si="0"/>
        <v>0.0146484375</v>
      </c>
      <c r="G7" s="4">
        <f>3069+155+20+39+84+101+154+120+115+80+96+68+142+186+168+144+140+181+165+128+173+173+173+91+91+90</f>
        <v>6146</v>
      </c>
      <c r="H7" s="16">
        <f t="shared" si="1"/>
        <v>1.00032552083333</v>
      </c>
      <c r="I7" s="25"/>
      <c r="J7" s="5"/>
      <c r="K7" s="24"/>
    </row>
    <row r="8" customHeight="1" spans="1:11">
      <c r="A8" s="10">
        <v>5</v>
      </c>
      <c r="B8" s="11" t="s">
        <v>21</v>
      </c>
      <c r="C8" s="4" t="s">
        <v>22</v>
      </c>
      <c r="D8" s="4">
        <v>1536</v>
      </c>
      <c r="E8" s="4">
        <v>28</v>
      </c>
      <c r="F8" s="15">
        <f t="shared" si="0"/>
        <v>0.0182291666666667</v>
      </c>
      <c r="G8" s="4">
        <f>10+5+7+6+11+12+15+15+18+10+15+9+12+27+34+8+3+3+4+2+2+8+2+6+10+8+11+1+11+12+12+7+5+9+5+4+4+14+24+18+16+21+18+23+26+22+16+13+25+28</f>
        <v>607</v>
      </c>
      <c r="H8" s="16">
        <f t="shared" si="1"/>
        <v>0.395182291666667</v>
      </c>
      <c r="I8" s="25"/>
      <c r="J8" s="5"/>
      <c r="K8" s="24"/>
    </row>
    <row r="9" customHeight="1" spans="1:11">
      <c r="A9" s="12"/>
      <c r="B9" s="13"/>
      <c r="C9" s="4" t="s">
        <v>23</v>
      </c>
      <c r="D9" s="4">
        <f t="shared" ref="D9:G9" si="2">D8/66</f>
        <v>23.2727272727273</v>
      </c>
      <c r="E9" s="4">
        <f t="shared" si="2"/>
        <v>0.424242424242424</v>
      </c>
      <c r="F9" s="15">
        <f t="shared" si="0"/>
        <v>0.0182291666666666</v>
      </c>
      <c r="G9" s="4">
        <f t="shared" si="2"/>
        <v>9.1969696969697</v>
      </c>
      <c r="H9" s="16">
        <f t="shared" si="1"/>
        <v>0.395182291666666</v>
      </c>
      <c r="I9" s="25"/>
      <c r="J9" s="5"/>
      <c r="K9" s="24"/>
    </row>
    <row r="10" customHeight="1" spans="1:11">
      <c r="A10" s="10">
        <v>6</v>
      </c>
      <c r="B10" s="10" t="s">
        <v>24</v>
      </c>
      <c r="C10" s="4" t="s">
        <v>22</v>
      </c>
      <c r="D10" s="4">
        <v>1536</v>
      </c>
      <c r="E10" s="4">
        <v>10</v>
      </c>
      <c r="F10" s="15">
        <f t="shared" si="0"/>
        <v>0.00651041666666667</v>
      </c>
      <c r="G10" s="4">
        <f>2+1+4+7+5+5+15+10+19+17+16+16+10+9+6+5+14+8+10+14+11+17+14+7+4+4+2+2+2+5+3+1+5+2+10+14+1+2+3+4+5+9+6+10</f>
        <v>336</v>
      </c>
      <c r="H10" s="16">
        <f t="shared" si="1"/>
        <v>0.21875</v>
      </c>
      <c r="I10" s="25"/>
      <c r="J10" s="5"/>
      <c r="K10" s="24"/>
    </row>
    <row r="11" customHeight="1" spans="1:11">
      <c r="A11" s="12"/>
      <c r="B11" s="12"/>
      <c r="C11" s="4" t="s">
        <v>23</v>
      </c>
      <c r="D11" s="4">
        <f t="shared" ref="D11:G11" si="3">D10/66</f>
        <v>23.2727272727273</v>
      </c>
      <c r="E11" s="4">
        <f t="shared" si="3"/>
        <v>0.151515151515152</v>
      </c>
      <c r="F11" s="15">
        <f t="shared" si="0"/>
        <v>0.00651041666666668</v>
      </c>
      <c r="G11" s="4">
        <f t="shared" si="3"/>
        <v>5.09090909090909</v>
      </c>
      <c r="H11" s="16">
        <f t="shared" si="1"/>
        <v>0.21875</v>
      </c>
      <c r="I11" s="25"/>
      <c r="J11" s="5"/>
      <c r="K11" s="24"/>
    </row>
    <row r="12" customHeight="1" spans="1:11">
      <c r="A12" s="4">
        <v>7</v>
      </c>
      <c r="B12" s="4" t="s">
        <v>44</v>
      </c>
      <c r="C12" s="4" t="s">
        <v>26</v>
      </c>
      <c r="D12" s="4">
        <v>6</v>
      </c>
      <c r="E12" s="4">
        <v>0</v>
      </c>
      <c r="F12" s="15">
        <f t="shared" si="0"/>
        <v>0</v>
      </c>
      <c r="G12" s="4">
        <v>5</v>
      </c>
      <c r="H12" s="16">
        <f t="shared" si="1"/>
        <v>0.833333333333333</v>
      </c>
      <c r="I12" s="25"/>
      <c r="J12" s="5"/>
      <c r="K12" s="24"/>
    </row>
    <row r="13" customHeight="1" spans="1:11">
      <c r="A13" s="4">
        <v>8</v>
      </c>
      <c r="B13" s="4" t="s">
        <v>27</v>
      </c>
      <c r="C13" s="4" t="s">
        <v>26</v>
      </c>
      <c r="D13" s="4">
        <v>96</v>
      </c>
      <c r="E13" s="4">
        <v>0</v>
      </c>
      <c r="F13" s="15">
        <f t="shared" si="0"/>
        <v>0</v>
      </c>
      <c r="G13" s="4">
        <v>7</v>
      </c>
      <c r="H13" s="16">
        <f t="shared" si="1"/>
        <v>0.0729166666666667</v>
      </c>
      <c r="I13" s="25"/>
      <c r="J13" s="5"/>
      <c r="K13" s="24"/>
    </row>
    <row r="14" customHeight="1" spans="1:11">
      <c r="A14" s="4">
        <v>9</v>
      </c>
      <c r="B14" s="6" t="s">
        <v>28</v>
      </c>
      <c r="C14" s="4" t="s">
        <v>29</v>
      </c>
      <c r="D14" s="4">
        <v>6</v>
      </c>
      <c r="E14" s="4">
        <v>0</v>
      </c>
      <c r="F14" s="15">
        <f t="shared" si="0"/>
        <v>0</v>
      </c>
      <c r="G14" s="4">
        <v>0</v>
      </c>
      <c r="H14" s="16">
        <f t="shared" si="1"/>
        <v>0</v>
      </c>
      <c r="I14" s="25"/>
      <c r="J14" s="5"/>
      <c r="K14" s="24"/>
    </row>
    <row r="15" customHeight="1" spans="1:11">
      <c r="A15" s="4">
        <v>10</v>
      </c>
      <c r="B15" s="6" t="s">
        <v>30</v>
      </c>
      <c r="C15" s="4" t="s">
        <v>29</v>
      </c>
      <c r="D15" s="4">
        <v>6</v>
      </c>
      <c r="E15" s="4">
        <v>0.1</v>
      </c>
      <c r="F15" s="15">
        <f t="shared" si="0"/>
        <v>0.0166666666666667</v>
      </c>
      <c r="G15" s="4">
        <v>0.1</v>
      </c>
      <c r="H15" s="16">
        <f t="shared" si="1"/>
        <v>0.0166666666666667</v>
      </c>
      <c r="I15" s="25"/>
      <c r="J15" s="5"/>
      <c r="K15" s="24"/>
    </row>
    <row r="16" customHeight="1" spans="1:11">
      <c r="A16" s="18"/>
      <c r="B16" s="18"/>
      <c r="C16" s="18"/>
      <c r="D16" s="18"/>
      <c r="E16" s="18"/>
      <c r="F16" s="18"/>
      <c r="G16" s="18"/>
      <c r="H16" s="18"/>
      <c r="I16" s="18"/>
      <c r="J16" s="22"/>
      <c r="K16" s="26"/>
    </row>
    <row r="17" customHeight="1" spans="1:11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6"/>
    </row>
    <row r="18" customHeight="1" spans="1:11">
      <c r="A18" s="18"/>
      <c r="B18" s="19"/>
      <c r="C18" s="18"/>
      <c r="D18" s="18"/>
      <c r="E18" s="18"/>
      <c r="F18" s="18"/>
      <c r="G18" s="18"/>
      <c r="H18" s="18"/>
      <c r="I18" s="18"/>
      <c r="J18" s="22"/>
      <c r="K18" s="26"/>
    </row>
    <row r="19" customHeight="1" spans="1:11">
      <c r="A19" s="22"/>
      <c r="B19" s="18"/>
      <c r="C19" s="18"/>
      <c r="D19" s="18"/>
      <c r="E19" s="18"/>
      <c r="F19" s="18"/>
      <c r="G19" s="18"/>
      <c r="H19" s="18"/>
      <c r="I19" s="18"/>
      <c r="J19" s="22"/>
      <c r="K19" s="26"/>
    </row>
    <row r="20" customHeight="1" spans="1:11">
      <c r="A20" s="18"/>
      <c r="B20" s="18"/>
      <c r="C20" s="18"/>
      <c r="D20" s="18"/>
      <c r="E20" s="18"/>
      <c r="F20" s="18"/>
      <c r="G20" s="18"/>
      <c r="H20" s="18"/>
      <c r="I20" s="18"/>
      <c r="J20" s="22"/>
      <c r="K20" s="26"/>
    </row>
    <row r="21" customHeight="1" spans="1:11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6"/>
    </row>
    <row r="22" customHeight="1" spans="1:11">
      <c r="A22" s="18"/>
      <c r="B22" s="19"/>
      <c r="C22" s="18"/>
      <c r="D22" s="18"/>
      <c r="E22" s="18"/>
      <c r="F22" s="18"/>
      <c r="G22" s="18"/>
      <c r="H22" s="18"/>
      <c r="I22" s="18"/>
      <c r="J22" s="22"/>
      <c r="K22" s="26"/>
    </row>
    <row r="23" customHeight="1" spans="1:11">
      <c r="A23" s="22"/>
      <c r="B23" s="18"/>
      <c r="C23" s="18"/>
      <c r="D23" s="18"/>
      <c r="E23" s="18"/>
      <c r="F23" s="18"/>
      <c r="G23" s="18"/>
      <c r="H23" s="18"/>
      <c r="I23" s="18"/>
      <c r="J23" s="22"/>
      <c r="K23" s="26"/>
    </row>
    <row r="24" customHeight="1" spans="1:11">
      <c r="A24" s="18"/>
      <c r="B24" s="18"/>
      <c r="C24" s="18"/>
      <c r="D24" s="18"/>
      <c r="E24" s="18"/>
      <c r="F24" s="18"/>
      <c r="G24" s="18"/>
      <c r="H24" s="18"/>
      <c r="I24" s="18"/>
      <c r="J24" s="22"/>
      <c r="K24" s="26"/>
    </row>
  </sheetData>
  <mergeCells count="10">
    <mergeCell ref="A1:K1"/>
    <mergeCell ref="A2:K2"/>
    <mergeCell ref="I3:J3"/>
    <mergeCell ref="A8:A9"/>
    <mergeCell ref="A10:A11"/>
    <mergeCell ref="B8:B9"/>
    <mergeCell ref="B10:B11"/>
    <mergeCell ref="I5:I15"/>
    <mergeCell ref="J5:J15"/>
    <mergeCell ref="K4:K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{17e5e46b-bbd5-4909-ad05-82b891c3c2a8}</x14:id>
        </ext>
      </extLst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{f923d99b-9152-4adb-8a79-50306ecb4ed7}</x14:id>
        </ext>
      </extLst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8">
    <cfRule type="dataBar" priority="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{475903f8-beb4-40a6-bbf6-9b1577aeeec4}</x14:id>
        </ext>
      </extLst>
    </cfRule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{9b687d57-f9b7-43c6-8806-41512ddaaea7}</x14:id>
        </ext>
      </extLst>
    </cfRule>
  </conditionalFormatting>
  <conditionalFormatting sqref="J22">
    <cfRule type="dataBar" priority="5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{15531982-3904-4f0d-a0e6-145bfdee716b}</x14:id>
        </ext>
      </extLst>
    </cfRule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{c0c40292-62e5-4fdd-be00-792600d2e0e6}</x14:id>
        </ext>
      </extLst>
    </cfRule>
  </conditionalFormatting>
  <pageMargins left="0.75" right="0.75" top="1" bottom="1" header="0.5" footer="0.5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7e5e46b-bbd5-4909-ad05-82b891c3c2a8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f923d99b-9152-4adb-8a79-50306ecb4ed7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475903f8-beb4-40a6-bbf6-9b1577aeeec4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9b687d57-f9b7-43c6-8806-41512ddaaea7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J18</xm:sqref>
        </x14:conditionalFormatting>
        <x14:conditionalFormatting xmlns:xm="http://schemas.microsoft.com/office/excel/2006/main">
          <x14:cfRule type="dataBar" id="{15531982-3904-4f0d-a0e6-145bfdee716b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c0c40292-62e5-4fdd-be00-792600d2e0e6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J22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zoomScale="70" zoomScaleNormal="70" topLeftCell="A6" workbookViewId="0">
      <selection activeCell="G16" sqref="G16"/>
    </sheetView>
  </sheetViews>
  <sheetFormatPr defaultColWidth="76" defaultRowHeight="15.6"/>
  <cols>
    <col min="1" max="1" width="27.1166666666667" style="21" customWidth="1"/>
    <col min="2" max="2" width="48.175" style="21" customWidth="1"/>
    <col min="3" max="3" width="8.15" style="21" customWidth="1"/>
    <col min="4" max="4" width="9.93333333333333" style="21" customWidth="1"/>
    <col min="5" max="5" width="9.775" style="21" customWidth="1"/>
    <col min="6" max="8" width="14.0833333333333" style="21" customWidth="1"/>
    <col min="9" max="11" width="25.5833333333333" style="21" customWidth="1"/>
    <col min="12" max="12" width="48.4833333333333" style="21" customWidth="1"/>
    <col min="13" max="254" width="76.9" style="21"/>
    <col min="255" max="16382" width="76.9" style="20"/>
    <col min="16383" max="16384" width="76" style="20"/>
  </cols>
  <sheetData>
    <row r="1" s="17" customFormat="1" ht="82" customHeight="1" spans="1:256">
      <c r="A1" s="1" t="s">
        <v>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0"/>
      <c r="IV1" s="20"/>
    </row>
    <row r="2" s="18" customFormat="1" ht="45" customHeight="1" spans="1:256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0"/>
      <c r="IV2" s="20"/>
    </row>
    <row r="3" s="18" customFormat="1" ht="60" customHeight="1" spans="1:256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0"/>
      <c r="IV3" s="20"/>
    </row>
    <row r="4" s="19" customFormat="1" ht="60" customHeight="1" spans="1:255">
      <c r="A4" s="4">
        <v>1</v>
      </c>
      <c r="B4" s="6" t="s">
        <v>13</v>
      </c>
      <c r="C4" s="4" t="s">
        <v>14</v>
      </c>
      <c r="D4" s="4">
        <v>768</v>
      </c>
      <c r="E4" s="4">
        <v>0</v>
      </c>
      <c r="F4" s="23">
        <f t="shared" ref="F4:F15" si="0">E4/D4</f>
        <v>0</v>
      </c>
      <c r="G4" s="4">
        <f>630+2+3+3+3+2+3+3+2+2+2+2+8+10+10+10</f>
        <v>695</v>
      </c>
      <c r="H4" s="23">
        <f t="shared" ref="H4:H15" si="1">G4/D4</f>
        <v>0.904947916666667</v>
      </c>
      <c r="I4" s="23" t="s">
        <v>37</v>
      </c>
      <c r="J4" s="5" t="s">
        <v>38</v>
      </c>
      <c r="K4" s="5" t="s">
        <v>39</v>
      </c>
      <c r="L4" s="24" t="s">
        <v>67</v>
      </c>
      <c r="O4" s="26"/>
      <c r="P4" s="26"/>
      <c r="W4" s="26"/>
      <c r="X4" s="26"/>
      <c r="AE4" s="26"/>
      <c r="AF4" s="26"/>
      <c r="AM4" s="26"/>
      <c r="AN4" s="26"/>
      <c r="AU4" s="26"/>
      <c r="AV4" s="26"/>
      <c r="BC4" s="26"/>
      <c r="BD4" s="26"/>
      <c r="BK4" s="26"/>
      <c r="BL4" s="26"/>
      <c r="BS4" s="26"/>
      <c r="BT4" s="26"/>
      <c r="CA4" s="26"/>
      <c r="CB4" s="26"/>
      <c r="CI4" s="26"/>
      <c r="CJ4" s="26"/>
      <c r="CQ4" s="26"/>
      <c r="CR4" s="26"/>
      <c r="CY4" s="26"/>
      <c r="CZ4" s="26"/>
      <c r="DG4" s="26"/>
      <c r="DH4" s="26"/>
      <c r="DO4" s="26"/>
      <c r="DP4" s="26"/>
      <c r="DW4" s="26"/>
      <c r="DX4" s="26"/>
      <c r="EE4" s="26"/>
      <c r="EF4" s="26"/>
      <c r="EM4" s="26"/>
      <c r="EN4" s="26"/>
      <c r="EU4" s="26"/>
      <c r="EV4" s="26"/>
      <c r="FC4" s="26"/>
      <c r="FD4" s="26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</row>
    <row r="5" s="18" customFormat="1" ht="60" customHeight="1" spans="1:256">
      <c r="A5" s="5">
        <v>2</v>
      </c>
      <c r="B5" s="4" t="s">
        <v>16</v>
      </c>
      <c r="C5" s="4" t="s">
        <v>17</v>
      </c>
      <c r="D5" s="4">
        <v>3072</v>
      </c>
      <c r="E5" s="4">
        <v>8</v>
      </c>
      <c r="F5" s="23">
        <f t="shared" si="0"/>
        <v>0.00260416666666667</v>
      </c>
      <c r="G5" s="4">
        <f>1242+2+77+61+10+45+15+52+50+62+36+22+48+16+16+28+28+15+3+26+46+20+20+20+10+10+10+10+20+10+10+14+20+70+15+15+97+88+88+60+88+48+10+15+10+15+17+15+15+30+16+29+33+31+30+23+21+8</f>
        <v>2961</v>
      </c>
      <c r="H5" s="23">
        <f t="shared" si="1"/>
        <v>0.9638671875</v>
      </c>
      <c r="I5" s="5" t="s">
        <v>68</v>
      </c>
      <c r="J5" s="5" t="s">
        <v>42</v>
      </c>
      <c r="K5" s="5" t="s">
        <v>69</v>
      </c>
      <c r="L5" s="24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0"/>
      <c r="IV5" s="20"/>
    </row>
    <row r="6" s="20" customFormat="1" ht="60" customHeight="1" spans="1:254">
      <c r="A6" s="4">
        <v>3</v>
      </c>
      <c r="B6" s="4" t="s">
        <v>18</v>
      </c>
      <c r="C6" s="4" t="s">
        <v>19</v>
      </c>
      <c r="D6" s="4">
        <v>3072</v>
      </c>
      <c r="E6" s="4">
        <v>0</v>
      </c>
      <c r="F6" s="23">
        <f t="shared" si="0"/>
        <v>0</v>
      </c>
      <c r="G6" s="4">
        <f>616+40+40+70+45+55+30+20+13+57+60+57+50+60+60+8+28+8+34+14+26+20+16+26+20+28+8+22+42+42+30+20+20+16+12+60+44+44+44+50+200+200+30+40+50+50+40+30+30+15+30+30+50+30+30+40+50+50+10+15+10+23+64</f>
        <v>3072</v>
      </c>
      <c r="H6" s="23">
        <f t="shared" si="1"/>
        <v>1</v>
      </c>
      <c r="I6" s="5"/>
      <c r="J6" s="5"/>
      <c r="K6" s="5"/>
      <c r="L6" s="24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</row>
    <row r="7" s="20" customFormat="1" ht="60" customHeight="1" spans="1:254">
      <c r="A7" s="4">
        <v>4</v>
      </c>
      <c r="B7" s="4" t="s">
        <v>20</v>
      </c>
      <c r="C7" s="4" t="s">
        <v>19</v>
      </c>
      <c r="D7" s="4">
        <v>3072</v>
      </c>
      <c r="E7" s="4">
        <v>13</v>
      </c>
      <c r="F7" s="23">
        <f t="shared" si="0"/>
        <v>0.00423177083333333</v>
      </c>
      <c r="G7" s="4">
        <f>1922+30+23+23+12+28+29+39+16+33+44+34+6+12+11+23+22+28+24+10+14+21+47+21+32+13</f>
        <v>2517</v>
      </c>
      <c r="H7" s="23">
        <f t="shared" si="1"/>
        <v>0.8193359375</v>
      </c>
      <c r="I7" s="5"/>
      <c r="J7" s="5"/>
      <c r="K7" s="5"/>
      <c r="L7" s="24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</row>
    <row r="8" s="19" customFormat="1" ht="60" customHeight="1" spans="1:255">
      <c r="A8" s="10">
        <v>5</v>
      </c>
      <c r="B8" s="11" t="s">
        <v>21</v>
      </c>
      <c r="C8" s="4" t="s">
        <v>22</v>
      </c>
      <c r="D8" s="4">
        <v>768</v>
      </c>
      <c r="E8" s="4">
        <v>3</v>
      </c>
      <c r="F8" s="23">
        <f t="shared" si="0"/>
        <v>0.00390625</v>
      </c>
      <c r="G8" s="4">
        <f>649+16+16+19+19+2+1+1+2+3</f>
        <v>728</v>
      </c>
      <c r="H8" s="23">
        <f t="shared" si="1"/>
        <v>0.947916666666667</v>
      </c>
      <c r="I8" s="5"/>
      <c r="J8" s="5"/>
      <c r="K8" s="5"/>
      <c r="L8" s="24"/>
      <c r="O8" s="26"/>
      <c r="P8" s="26"/>
      <c r="W8" s="26"/>
      <c r="X8" s="26"/>
      <c r="AE8" s="26"/>
      <c r="AF8" s="26"/>
      <c r="AM8" s="26"/>
      <c r="AN8" s="26"/>
      <c r="AU8" s="26"/>
      <c r="AV8" s="26"/>
      <c r="BC8" s="26"/>
      <c r="BD8" s="26"/>
      <c r="BK8" s="26"/>
      <c r="BL8" s="26"/>
      <c r="BS8" s="26"/>
      <c r="BT8" s="26"/>
      <c r="CA8" s="26"/>
      <c r="CB8" s="26"/>
      <c r="CI8" s="26"/>
      <c r="CJ8" s="26"/>
      <c r="CQ8" s="26"/>
      <c r="CR8" s="26"/>
      <c r="CY8" s="26"/>
      <c r="CZ8" s="26"/>
      <c r="DG8" s="26"/>
      <c r="DH8" s="26"/>
      <c r="DO8" s="26"/>
      <c r="DP8" s="26"/>
      <c r="DW8" s="26"/>
      <c r="DX8" s="26"/>
      <c r="EE8" s="26"/>
      <c r="EF8" s="26"/>
      <c r="EM8" s="26"/>
      <c r="EN8" s="26"/>
      <c r="EU8" s="26"/>
      <c r="EV8" s="26"/>
      <c r="FC8" s="26"/>
      <c r="FD8" s="26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</row>
    <row r="9" s="18" customFormat="1" ht="60" customHeight="1" spans="1:256">
      <c r="A9" s="12"/>
      <c r="B9" s="13"/>
      <c r="C9" s="4" t="s">
        <v>23</v>
      </c>
      <c r="D9" s="4">
        <f>D8/66</f>
        <v>11.6363636363636</v>
      </c>
      <c r="E9" s="4">
        <f>E8/66</f>
        <v>0.0454545454545455</v>
      </c>
      <c r="F9" s="23">
        <f t="shared" si="0"/>
        <v>0.00390625000000001</v>
      </c>
      <c r="G9" s="4">
        <f>G8/66</f>
        <v>11.030303030303</v>
      </c>
      <c r="H9" s="23">
        <f t="shared" si="1"/>
        <v>0.94791666666667</v>
      </c>
      <c r="I9" s="5"/>
      <c r="J9" s="5"/>
      <c r="K9" s="5"/>
      <c r="L9" s="24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0"/>
      <c r="IV9" s="20"/>
    </row>
    <row r="10" s="18" customFormat="1" ht="60" customHeight="1" spans="1:256">
      <c r="A10" s="10">
        <v>6</v>
      </c>
      <c r="B10" s="10" t="s">
        <v>24</v>
      </c>
      <c r="C10" s="4" t="s">
        <v>22</v>
      </c>
      <c r="D10" s="4">
        <v>768</v>
      </c>
      <c r="E10" s="4">
        <v>2</v>
      </c>
      <c r="F10" s="23">
        <f t="shared" si="0"/>
        <v>0.00260416666666667</v>
      </c>
      <c r="G10" s="4">
        <f>700+1+1+1+1+2+2+2</f>
        <v>710</v>
      </c>
      <c r="H10" s="23">
        <f t="shared" si="1"/>
        <v>0.924479166666667</v>
      </c>
      <c r="I10" s="5"/>
      <c r="J10" s="5"/>
      <c r="K10" s="5"/>
      <c r="L10" s="24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0"/>
      <c r="IV10" s="20"/>
    </row>
    <row r="11" s="20" customFormat="1" ht="60" customHeight="1" spans="1:254">
      <c r="A11" s="12"/>
      <c r="B11" s="12"/>
      <c r="C11" s="4" t="s">
        <v>23</v>
      </c>
      <c r="D11" s="4">
        <f>D10/66</f>
        <v>11.6363636363636</v>
      </c>
      <c r="E11" s="4">
        <f>E10/66</f>
        <v>0.0303030303030303</v>
      </c>
      <c r="F11" s="23">
        <f t="shared" si="0"/>
        <v>0.00260416666666668</v>
      </c>
      <c r="G11" s="4">
        <f>G10/66</f>
        <v>10.7575757575758</v>
      </c>
      <c r="H11" s="23">
        <f t="shared" si="1"/>
        <v>0.92447916666667</v>
      </c>
      <c r="I11" s="5"/>
      <c r="J11" s="5"/>
      <c r="K11" s="5"/>
      <c r="L11" s="24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</row>
    <row r="12" s="20" customFormat="1" ht="60" customHeight="1" spans="1:254">
      <c r="A12" s="4">
        <v>7</v>
      </c>
      <c r="B12" s="4" t="s">
        <v>44</v>
      </c>
      <c r="C12" s="4" t="s">
        <v>26</v>
      </c>
      <c r="D12" s="4">
        <v>3</v>
      </c>
      <c r="E12" s="4">
        <v>0</v>
      </c>
      <c r="F12" s="23">
        <f t="shared" si="0"/>
        <v>0</v>
      </c>
      <c r="G12" s="4">
        <v>3</v>
      </c>
      <c r="H12" s="23">
        <f t="shared" si="1"/>
        <v>1</v>
      </c>
      <c r="I12" s="5"/>
      <c r="J12" s="5"/>
      <c r="K12" s="5"/>
      <c r="L12" s="24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</row>
    <row r="13" s="20" customFormat="1" ht="60" customHeight="1" spans="1:254">
      <c r="A13" s="4">
        <v>8</v>
      </c>
      <c r="B13" s="4" t="s">
        <v>27</v>
      </c>
      <c r="C13" s="4" t="s">
        <v>26</v>
      </c>
      <c r="D13" s="4">
        <v>48</v>
      </c>
      <c r="E13" s="4">
        <v>0</v>
      </c>
      <c r="F13" s="23">
        <f t="shared" si="0"/>
        <v>0</v>
      </c>
      <c r="G13" s="4">
        <v>45</v>
      </c>
      <c r="H13" s="23">
        <f t="shared" si="1"/>
        <v>0.9375</v>
      </c>
      <c r="I13" s="5"/>
      <c r="J13" s="5"/>
      <c r="K13" s="5"/>
      <c r="L13" s="24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</row>
    <row r="14" s="19" customFormat="1" ht="60" customHeight="1" spans="1:255">
      <c r="A14" s="4">
        <v>9</v>
      </c>
      <c r="B14" s="6" t="s">
        <v>28</v>
      </c>
      <c r="C14" s="4" t="s">
        <v>29</v>
      </c>
      <c r="D14" s="4">
        <v>3</v>
      </c>
      <c r="E14" s="4">
        <v>0.1</v>
      </c>
      <c r="F14" s="23">
        <f t="shared" si="0"/>
        <v>0.0333333333333333</v>
      </c>
      <c r="G14" s="4">
        <v>2.3</v>
      </c>
      <c r="H14" s="23">
        <f t="shared" si="1"/>
        <v>0.766666666666667</v>
      </c>
      <c r="I14" s="5"/>
      <c r="J14" s="5"/>
      <c r="K14" s="5"/>
      <c r="L14" s="24"/>
      <c r="O14" s="26"/>
      <c r="P14" s="26"/>
      <c r="W14" s="26"/>
      <c r="X14" s="26"/>
      <c r="AE14" s="26"/>
      <c r="AF14" s="26"/>
      <c r="AM14" s="26"/>
      <c r="AN14" s="26"/>
      <c r="AU14" s="26"/>
      <c r="AV14" s="26"/>
      <c r="BC14" s="26"/>
      <c r="BD14" s="26"/>
      <c r="BK14" s="26"/>
      <c r="BL14" s="26"/>
      <c r="BS14" s="26"/>
      <c r="BT14" s="26"/>
      <c r="CA14" s="26"/>
      <c r="CB14" s="26"/>
      <c r="CI14" s="26"/>
      <c r="CJ14" s="26"/>
      <c r="CQ14" s="26"/>
      <c r="CR14" s="26"/>
      <c r="CY14" s="26"/>
      <c r="CZ14" s="26"/>
      <c r="DG14" s="26"/>
      <c r="DH14" s="26"/>
      <c r="DO14" s="26"/>
      <c r="DP14" s="26"/>
      <c r="DW14" s="26"/>
      <c r="DX14" s="26"/>
      <c r="EE14" s="26"/>
      <c r="EF14" s="26"/>
      <c r="EM14" s="26"/>
      <c r="EN14" s="26"/>
      <c r="EU14" s="26"/>
      <c r="EV14" s="26"/>
      <c r="FC14" s="26"/>
      <c r="FD14" s="26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</row>
    <row r="15" s="19" customFormat="1" ht="60" customHeight="1" spans="1:255">
      <c r="A15" s="4">
        <v>10</v>
      </c>
      <c r="B15" s="6" t="s">
        <v>30</v>
      </c>
      <c r="C15" s="4" t="s">
        <v>29</v>
      </c>
      <c r="D15" s="4">
        <v>3</v>
      </c>
      <c r="E15" s="4">
        <v>0.1</v>
      </c>
      <c r="F15" s="23">
        <f t="shared" si="0"/>
        <v>0.0333333333333333</v>
      </c>
      <c r="G15" s="4">
        <v>2.4</v>
      </c>
      <c r="H15" s="23">
        <f t="shared" si="1"/>
        <v>0.8</v>
      </c>
      <c r="I15" s="5"/>
      <c r="J15" s="5"/>
      <c r="K15" s="5"/>
      <c r="L15" s="24"/>
      <c r="O15" s="26"/>
      <c r="P15" s="26"/>
      <c r="W15" s="26"/>
      <c r="X15" s="26"/>
      <c r="AE15" s="26"/>
      <c r="AF15" s="26"/>
      <c r="AM15" s="26"/>
      <c r="AN15" s="26"/>
      <c r="AU15" s="26"/>
      <c r="AV15" s="26"/>
      <c r="BC15" s="26"/>
      <c r="BD15" s="26"/>
      <c r="BK15" s="26"/>
      <c r="BL15" s="26"/>
      <c r="BS15" s="26"/>
      <c r="BT15" s="26"/>
      <c r="CA15" s="26"/>
      <c r="CB15" s="26"/>
      <c r="CI15" s="26"/>
      <c r="CJ15" s="26"/>
      <c r="CQ15" s="26"/>
      <c r="CR15" s="26"/>
      <c r="CY15" s="26"/>
      <c r="CZ15" s="26"/>
      <c r="DG15" s="26"/>
      <c r="DH15" s="26"/>
      <c r="DO15" s="26"/>
      <c r="DP15" s="26"/>
      <c r="DW15" s="26"/>
      <c r="DX15" s="26"/>
      <c r="EE15" s="26"/>
      <c r="EF15" s="26"/>
      <c r="EM15" s="26"/>
      <c r="EN15" s="26"/>
      <c r="EU15" s="26"/>
      <c r="EV15" s="26"/>
      <c r="FC15" s="26"/>
      <c r="FD15" s="26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</row>
    <row r="16" s="18" customFormat="1" ht="46" customHeight="1" spans="10:256">
      <c r="J16" s="22"/>
      <c r="K16" s="22"/>
      <c r="L16" s="26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0"/>
      <c r="IV16" s="20"/>
    </row>
    <row r="17" s="20" customFormat="1" ht="42" customHeight="1" spans="1:254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2"/>
      <c r="L17" s="26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="20" customFormat="1" ht="42" customHeight="1" spans="1:254">
      <c r="A18" s="18"/>
      <c r="B18" s="18"/>
      <c r="C18" s="18"/>
      <c r="D18" s="18"/>
      <c r="E18" s="18"/>
      <c r="F18" s="18"/>
      <c r="G18" s="18"/>
      <c r="H18" s="18"/>
      <c r="I18" s="18"/>
      <c r="J18" s="22"/>
      <c r="K18" s="22"/>
      <c r="L18" s="26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="19" customFormat="1" ht="45.95" customHeight="1" spans="1:255">
      <c r="A19" s="18"/>
      <c r="C19" s="18"/>
      <c r="D19" s="18"/>
      <c r="E19" s="18"/>
      <c r="F19" s="18"/>
      <c r="G19" s="18"/>
      <c r="H19" s="18"/>
      <c r="I19" s="18"/>
      <c r="J19" s="22"/>
      <c r="K19" s="22"/>
      <c r="L19" s="26"/>
      <c r="O19" s="26"/>
      <c r="P19" s="26"/>
      <c r="W19" s="26"/>
      <c r="X19" s="26"/>
      <c r="AE19" s="26"/>
      <c r="AF19" s="26"/>
      <c r="AM19" s="26"/>
      <c r="AN19" s="26"/>
      <c r="AU19" s="26"/>
      <c r="AV19" s="26"/>
      <c r="BC19" s="26"/>
      <c r="BD19" s="26"/>
      <c r="BK19" s="26"/>
      <c r="BL19" s="26"/>
      <c r="BS19" s="26"/>
      <c r="BT19" s="26"/>
      <c r="CA19" s="26"/>
      <c r="CB19" s="26"/>
      <c r="CI19" s="26"/>
      <c r="CJ19" s="26"/>
      <c r="CQ19" s="26"/>
      <c r="CR19" s="26"/>
      <c r="CY19" s="26"/>
      <c r="CZ19" s="26"/>
      <c r="DG19" s="26"/>
      <c r="DH19" s="26"/>
      <c r="DO19" s="26"/>
      <c r="DP19" s="26"/>
      <c r="DW19" s="26"/>
      <c r="DX19" s="26"/>
      <c r="EE19" s="26"/>
      <c r="EF19" s="26"/>
      <c r="EM19" s="26"/>
      <c r="EN19" s="26"/>
      <c r="EU19" s="26"/>
      <c r="EV19" s="26"/>
      <c r="FC19" s="26"/>
      <c r="FD19" s="26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</row>
    <row r="20" s="18" customFormat="1" ht="46" customHeight="1" spans="1:256">
      <c r="A20" s="22"/>
      <c r="J20" s="22"/>
      <c r="K20" s="22"/>
      <c r="L20" s="26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0"/>
      <c r="IV20" s="20"/>
    </row>
    <row r="21" s="20" customFormat="1" ht="42" customHeight="1" spans="1:254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2"/>
      <c r="L21" s="26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</row>
    <row r="22" s="20" customFormat="1" ht="42" customHeight="1" spans="1:254">
      <c r="A22" s="18"/>
      <c r="B22" s="18"/>
      <c r="C22" s="18"/>
      <c r="D22" s="18"/>
      <c r="E22" s="18"/>
      <c r="F22" s="18"/>
      <c r="G22" s="18"/>
      <c r="H22" s="18"/>
      <c r="I22" s="18"/>
      <c r="J22" s="22"/>
      <c r="K22" s="22"/>
      <c r="L22" s="26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</row>
    <row r="23" s="19" customFormat="1" ht="45.95" customHeight="1" spans="1:255">
      <c r="A23" s="18"/>
      <c r="C23" s="18"/>
      <c r="D23" s="18"/>
      <c r="E23" s="18"/>
      <c r="F23" s="18"/>
      <c r="G23" s="18"/>
      <c r="H23" s="18"/>
      <c r="I23" s="18"/>
      <c r="J23" s="22"/>
      <c r="K23" s="22"/>
      <c r="L23" s="26"/>
      <c r="O23" s="26"/>
      <c r="P23" s="26"/>
      <c r="W23" s="26"/>
      <c r="X23" s="26"/>
      <c r="AE23" s="26"/>
      <c r="AF23" s="26"/>
      <c r="AM23" s="26"/>
      <c r="AN23" s="26"/>
      <c r="AU23" s="26"/>
      <c r="AV23" s="26"/>
      <c r="BC23" s="26"/>
      <c r="BD23" s="26"/>
      <c r="BK23" s="26"/>
      <c r="BL23" s="26"/>
      <c r="BS23" s="26"/>
      <c r="BT23" s="26"/>
      <c r="CA23" s="26"/>
      <c r="CB23" s="26"/>
      <c r="CI23" s="26"/>
      <c r="CJ23" s="26"/>
      <c r="CQ23" s="26"/>
      <c r="CR23" s="26"/>
      <c r="CY23" s="26"/>
      <c r="CZ23" s="26"/>
      <c r="DG23" s="26"/>
      <c r="DH23" s="26"/>
      <c r="DO23" s="26"/>
      <c r="DP23" s="26"/>
      <c r="DW23" s="26"/>
      <c r="DX23" s="26"/>
      <c r="EE23" s="26"/>
      <c r="EF23" s="26"/>
      <c r="EM23" s="26"/>
      <c r="EN23" s="26"/>
      <c r="EU23" s="26"/>
      <c r="EV23" s="26"/>
      <c r="FC23" s="26"/>
      <c r="FD23" s="26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</row>
    <row r="24" s="18" customFormat="1" ht="46" customHeight="1" spans="1:256">
      <c r="A24" s="22"/>
      <c r="J24" s="22"/>
      <c r="K24" s="22"/>
      <c r="L24" s="26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0"/>
      <c r="IV24" s="20"/>
    </row>
    <row r="25" s="20" customFormat="1" ht="42" customHeight="1" spans="1:254">
      <c r="A25" s="18"/>
      <c r="B25" s="18"/>
      <c r="C25" s="18"/>
      <c r="D25" s="18"/>
      <c r="E25" s="18"/>
      <c r="F25" s="18"/>
      <c r="G25" s="18"/>
      <c r="H25" s="18"/>
      <c r="I25" s="18"/>
      <c r="J25" s="22"/>
      <c r="K25" s="22"/>
      <c r="L25" s="26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="20" customFormat="1" ht="42" customHeight="1" spans="1:254">
      <c r="A26" s="18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6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</sheetData>
  <mergeCells count="22">
    <mergeCell ref="A1:L1"/>
    <mergeCell ref="A2:L2"/>
    <mergeCell ref="I3:K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{437d6595-2845-469a-ade3-d7e10c027e9c}</x14:id>
        </ext>
      </extLst>
    </cfRule>
    <cfRule type="dataBar" priority="1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{112477b1-6145-4e74-8b1b-6dc9a24a0b8a}</x14:id>
        </ext>
      </extLst>
    </cfRule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">
    <cfRule type="dataBar" priority="6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{46b6c32a-1c91-4c75-bb49-6b4bb96e7b39}</x14:id>
        </ext>
      </extLst>
    </cfRule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{412f46cb-0f14-4c5e-86d1-5d726eb8d43e}</x14:id>
        </ext>
      </extLst>
    </cfRule>
  </conditionalFormatting>
  <conditionalFormatting sqref="J23"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{453b5d99-355b-4114-8335-22757b0abbc8}</x14:id>
        </ext>
      </extLst>
    </cfRule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{e4cd7bac-8455-4902-a3a5-6f7c67eb82f2}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37d6595-2845-469a-ade3-d7e10c027e9c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112477b1-6145-4e74-8b1b-6dc9a24a0b8a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46b6c32a-1c91-4c75-bb49-6b4bb96e7b39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412f46cb-0f14-4c5e-86d1-5d726eb8d43e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J19</xm:sqref>
        </x14:conditionalFormatting>
        <x14:conditionalFormatting xmlns:xm="http://schemas.microsoft.com/office/excel/2006/main">
          <x14:cfRule type="dataBar" id="{453b5d99-355b-4114-8335-22757b0abbc8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e4cd7bac-8455-4902-a3a5-6f7c67eb82f2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J23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Y26"/>
  <sheetViews>
    <sheetView zoomScale="70" zoomScaleNormal="70" topLeftCell="A7" workbookViewId="0">
      <selection activeCell="G16" sqref="G16"/>
    </sheetView>
  </sheetViews>
  <sheetFormatPr defaultColWidth="76" defaultRowHeight="15.6"/>
  <cols>
    <col min="1" max="1" width="27.1166666666667" style="21" customWidth="1"/>
    <col min="2" max="2" width="48.175" style="21" customWidth="1"/>
    <col min="3" max="3" width="8.15" style="21" customWidth="1"/>
    <col min="4" max="4" width="9.93333333333333" style="21" customWidth="1"/>
    <col min="5" max="5" width="9.775" style="21" customWidth="1"/>
    <col min="6" max="8" width="14.0833333333333" style="21" customWidth="1"/>
    <col min="9" max="11" width="25.5833333333333" style="21" customWidth="1"/>
    <col min="12" max="12" width="48.4833333333333" style="21" customWidth="1"/>
    <col min="13" max="13" width="91.925" style="21" customWidth="1"/>
    <col min="14" max="257" width="76.9" style="21"/>
    <col min="258" max="16384" width="76.9" style="20"/>
  </cols>
  <sheetData>
    <row r="1" s="17" customFormat="1" ht="82" customHeight="1" spans="1:259">
      <c r="A1" s="1" t="s">
        <v>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0"/>
      <c r="IY1" s="20"/>
    </row>
    <row r="2" s="18" customFormat="1" ht="45" customHeight="1" spans="1:259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0"/>
      <c r="IY2" s="20"/>
    </row>
    <row r="3" s="18" customFormat="1" ht="60" customHeight="1" spans="1:259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0"/>
      <c r="IY3" s="20"/>
    </row>
    <row r="4" s="19" customFormat="1" ht="60" customHeight="1" spans="1:258">
      <c r="A4" s="4">
        <v>1</v>
      </c>
      <c r="B4" s="6" t="s">
        <v>13</v>
      </c>
      <c r="C4" s="4" t="s">
        <v>14</v>
      </c>
      <c r="D4" s="4">
        <v>512</v>
      </c>
      <c r="E4" s="4">
        <v>0</v>
      </c>
      <c r="F4" s="15">
        <f t="shared" ref="F4:F15" si="0">E4/D4</f>
        <v>0</v>
      </c>
      <c r="G4" s="4">
        <f>120+3+3+3+3+3+3+5+6+2+3+1+2+2+1+8+5+4+8+16+11+3+6+8+5+2+2+1+1+1+3+4+6</f>
        <v>254</v>
      </c>
      <c r="H4" s="16">
        <f t="shared" ref="H4:H15" si="1">G4/D4</f>
        <v>0.49609375</v>
      </c>
      <c r="I4" s="23" t="s">
        <v>37</v>
      </c>
      <c r="J4" s="5" t="s">
        <v>38</v>
      </c>
      <c r="K4" s="5" t="s">
        <v>39</v>
      </c>
      <c r="L4" s="28" t="s">
        <v>42</v>
      </c>
      <c r="R4" s="26"/>
      <c r="S4" s="26"/>
      <c r="Z4" s="26"/>
      <c r="AA4" s="26"/>
      <c r="AH4" s="26"/>
      <c r="AI4" s="26"/>
      <c r="AP4" s="26"/>
      <c r="AQ4" s="26"/>
      <c r="AX4" s="26"/>
      <c r="AY4" s="26"/>
      <c r="BF4" s="26"/>
      <c r="BG4" s="26"/>
      <c r="BN4" s="26"/>
      <c r="BO4" s="26"/>
      <c r="BV4" s="26"/>
      <c r="BW4" s="26"/>
      <c r="CD4" s="26"/>
      <c r="CE4" s="26"/>
      <c r="CL4" s="26"/>
      <c r="CM4" s="26"/>
      <c r="CT4" s="26"/>
      <c r="CU4" s="26"/>
      <c r="DB4" s="26"/>
      <c r="DC4" s="26"/>
      <c r="DJ4" s="26"/>
      <c r="DK4" s="26"/>
      <c r="DR4" s="26"/>
      <c r="DS4" s="26"/>
      <c r="DZ4" s="26"/>
      <c r="EA4" s="26"/>
      <c r="EH4" s="26"/>
      <c r="EI4" s="26"/>
      <c r="EP4" s="26"/>
      <c r="EQ4" s="26"/>
      <c r="EX4" s="26"/>
      <c r="EY4" s="26"/>
      <c r="FF4" s="26"/>
      <c r="FG4" s="26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  <c r="IW4" s="27"/>
      <c r="IX4" s="27"/>
    </row>
    <row r="5" s="18" customFormat="1" ht="60" customHeight="1" spans="1:259">
      <c r="A5" s="5">
        <v>2</v>
      </c>
      <c r="B5" s="4" t="s">
        <v>16</v>
      </c>
      <c r="C5" s="4" t="s">
        <v>17</v>
      </c>
      <c r="D5" s="4">
        <v>2048</v>
      </c>
      <c r="E5" s="4">
        <v>0</v>
      </c>
      <c r="F5" s="15">
        <f t="shared" si="0"/>
        <v>0</v>
      </c>
      <c r="G5" s="4">
        <v>2092</v>
      </c>
      <c r="H5" s="16">
        <f t="shared" si="1"/>
        <v>1.021484375</v>
      </c>
      <c r="I5" s="25" t="s">
        <v>71</v>
      </c>
      <c r="J5" s="5" t="s">
        <v>42</v>
      </c>
      <c r="K5" s="5" t="s">
        <v>72</v>
      </c>
      <c r="L5" s="24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0"/>
      <c r="IY5" s="20"/>
    </row>
    <row r="6" s="20" customFormat="1" ht="60" customHeight="1" spans="1:257">
      <c r="A6" s="4">
        <v>3</v>
      </c>
      <c r="B6" s="4" t="s">
        <v>18</v>
      </c>
      <c r="C6" s="4" t="s">
        <v>19</v>
      </c>
      <c r="D6" s="4">
        <v>2048</v>
      </c>
      <c r="E6" s="4">
        <v>0</v>
      </c>
      <c r="F6" s="15">
        <f t="shared" si="0"/>
        <v>0</v>
      </c>
      <c r="G6" s="4">
        <v>2092</v>
      </c>
      <c r="H6" s="16">
        <f t="shared" si="1"/>
        <v>1.021484375</v>
      </c>
      <c r="I6" s="25"/>
      <c r="J6" s="5"/>
      <c r="K6" s="5"/>
      <c r="L6" s="24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</row>
    <row r="7" s="20" customFormat="1" ht="60" customHeight="1" spans="1:257">
      <c r="A7" s="4">
        <v>4</v>
      </c>
      <c r="B7" s="4" t="s">
        <v>20</v>
      </c>
      <c r="C7" s="4" t="s">
        <v>19</v>
      </c>
      <c r="D7" s="4">
        <v>2048</v>
      </c>
      <c r="E7" s="4">
        <v>0</v>
      </c>
      <c r="F7" s="15">
        <f t="shared" si="0"/>
        <v>0</v>
      </c>
      <c r="G7" s="4">
        <f>2092</f>
        <v>2092</v>
      </c>
      <c r="H7" s="16">
        <f t="shared" si="1"/>
        <v>1.021484375</v>
      </c>
      <c r="I7" s="25"/>
      <c r="J7" s="5"/>
      <c r="K7" s="5"/>
      <c r="L7" s="24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</row>
    <row r="8" s="19" customFormat="1" ht="60" customHeight="1" spans="1:258">
      <c r="A8" s="10">
        <v>5</v>
      </c>
      <c r="B8" s="11" t="s">
        <v>21</v>
      </c>
      <c r="C8" s="4" t="s">
        <v>22</v>
      </c>
      <c r="D8" s="4">
        <v>512</v>
      </c>
      <c r="E8" s="4">
        <v>7</v>
      </c>
      <c r="F8" s="15">
        <f t="shared" si="0"/>
        <v>0.013671875</v>
      </c>
      <c r="G8" s="4">
        <f>54+7+11+15+6+8+10+6+6+1+6+16+6+2+2+2+1+2+6+1+6+6+14+8+16+4+11+16+8+13+9+17+15+21+11+7+22+20+14+19+14+11+12+6+7</f>
        <v>475</v>
      </c>
      <c r="H8" s="16">
        <f t="shared" si="1"/>
        <v>0.927734375</v>
      </c>
      <c r="I8" s="25"/>
      <c r="J8" s="5"/>
      <c r="K8" s="5"/>
      <c r="L8" s="24"/>
      <c r="R8" s="26"/>
      <c r="S8" s="26"/>
      <c r="Z8" s="26"/>
      <c r="AA8" s="26"/>
      <c r="AH8" s="26"/>
      <c r="AI8" s="26"/>
      <c r="AP8" s="26"/>
      <c r="AQ8" s="26"/>
      <c r="AX8" s="26"/>
      <c r="AY8" s="26"/>
      <c r="BF8" s="26"/>
      <c r="BG8" s="26"/>
      <c r="BN8" s="26"/>
      <c r="BO8" s="26"/>
      <c r="BV8" s="26"/>
      <c r="BW8" s="26"/>
      <c r="CD8" s="26"/>
      <c r="CE8" s="26"/>
      <c r="CL8" s="26"/>
      <c r="CM8" s="26"/>
      <c r="CT8" s="26"/>
      <c r="CU8" s="26"/>
      <c r="DB8" s="26"/>
      <c r="DC8" s="26"/>
      <c r="DJ8" s="26"/>
      <c r="DK8" s="26"/>
      <c r="DR8" s="26"/>
      <c r="DS8" s="26"/>
      <c r="DZ8" s="26"/>
      <c r="EA8" s="26"/>
      <c r="EH8" s="26"/>
      <c r="EI8" s="26"/>
      <c r="EP8" s="26"/>
      <c r="EQ8" s="26"/>
      <c r="EX8" s="26"/>
      <c r="EY8" s="26"/>
      <c r="FF8" s="26"/>
      <c r="FG8" s="26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  <c r="IW8" s="27"/>
      <c r="IX8" s="27"/>
    </row>
    <row r="9" s="18" customFormat="1" ht="60" customHeight="1" spans="1:259">
      <c r="A9" s="12"/>
      <c r="B9" s="13"/>
      <c r="C9" s="4" t="s">
        <v>23</v>
      </c>
      <c r="D9" s="4">
        <f>D8/66</f>
        <v>7.75757575757576</v>
      </c>
      <c r="E9" s="4">
        <f>E8/66</f>
        <v>0.106060606060606</v>
      </c>
      <c r="F9" s="15">
        <f t="shared" si="0"/>
        <v>0.013671875</v>
      </c>
      <c r="G9" s="4">
        <f>G8/66</f>
        <v>7.1969696969697</v>
      </c>
      <c r="H9" s="16">
        <f t="shared" si="1"/>
        <v>0.927734375</v>
      </c>
      <c r="I9" s="25"/>
      <c r="J9" s="5"/>
      <c r="K9" s="5"/>
      <c r="L9" s="24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0"/>
      <c r="IY9" s="20"/>
    </row>
    <row r="10" s="18" customFormat="1" ht="60" customHeight="1" spans="1:259">
      <c r="A10" s="10">
        <v>6</v>
      </c>
      <c r="B10" s="10" t="s">
        <v>24</v>
      </c>
      <c r="C10" s="4" t="s">
        <v>22</v>
      </c>
      <c r="D10" s="4">
        <v>512</v>
      </c>
      <c r="E10" s="4">
        <v>14</v>
      </c>
      <c r="F10" s="15">
        <f t="shared" si="0"/>
        <v>0.02734375</v>
      </c>
      <c r="G10" s="4">
        <f>37+2+2+2+2+1+3+3+2+2+5+2+3+2+4+2+1+2+3+8+8+5+5+5+4+6+5+8+3+3+8+5+6+9+10+6+12+12+18+15+22+18+16+22+14+20+19+10+9+8+11+12+12+14+14</f>
        <v>462</v>
      </c>
      <c r="H10" s="16">
        <f t="shared" si="1"/>
        <v>0.90234375</v>
      </c>
      <c r="I10" s="25"/>
      <c r="J10" s="5"/>
      <c r="K10" s="5"/>
      <c r="L10" s="24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0"/>
      <c r="IY10" s="20"/>
    </row>
    <row r="11" s="20" customFormat="1" ht="60" customHeight="1" spans="1:257">
      <c r="A11" s="12"/>
      <c r="B11" s="12"/>
      <c r="C11" s="4" t="s">
        <v>23</v>
      </c>
      <c r="D11" s="4">
        <f>D10/66</f>
        <v>7.75757575757576</v>
      </c>
      <c r="E11" s="4">
        <f>E10/66</f>
        <v>0.212121212121212</v>
      </c>
      <c r="F11" s="15">
        <f t="shared" si="0"/>
        <v>0.02734375</v>
      </c>
      <c r="G11" s="4">
        <f>G10/66</f>
        <v>7</v>
      </c>
      <c r="H11" s="16">
        <f t="shared" si="1"/>
        <v>0.90234375</v>
      </c>
      <c r="I11" s="25"/>
      <c r="J11" s="5"/>
      <c r="K11" s="5"/>
      <c r="L11" s="24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</row>
    <row r="12" s="20" customFormat="1" ht="60" customHeight="1" spans="1:257">
      <c r="A12" s="4">
        <v>7</v>
      </c>
      <c r="B12" s="4" t="s">
        <v>44</v>
      </c>
      <c r="C12" s="4" t="s">
        <v>26</v>
      </c>
      <c r="D12" s="4">
        <v>2</v>
      </c>
      <c r="E12" s="4">
        <v>0</v>
      </c>
      <c r="F12" s="15">
        <f t="shared" si="0"/>
        <v>0</v>
      </c>
      <c r="G12" s="4">
        <v>2</v>
      </c>
      <c r="H12" s="16">
        <f t="shared" si="1"/>
        <v>1</v>
      </c>
      <c r="I12" s="25"/>
      <c r="J12" s="5"/>
      <c r="K12" s="5"/>
      <c r="L12" s="24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</row>
    <row r="13" s="20" customFormat="1" ht="60" customHeight="1" spans="1:257">
      <c r="A13" s="4">
        <v>8</v>
      </c>
      <c r="B13" s="4" t="s">
        <v>27</v>
      </c>
      <c r="C13" s="4" t="s">
        <v>26</v>
      </c>
      <c r="D13" s="4">
        <v>32</v>
      </c>
      <c r="E13" s="4">
        <v>0</v>
      </c>
      <c r="F13" s="15">
        <f t="shared" si="0"/>
        <v>0</v>
      </c>
      <c r="G13" s="4">
        <v>18</v>
      </c>
      <c r="H13" s="16">
        <f t="shared" si="1"/>
        <v>0.5625</v>
      </c>
      <c r="I13" s="25"/>
      <c r="J13" s="5"/>
      <c r="K13" s="5"/>
      <c r="L13" s="24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</row>
    <row r="14" s="19" customFormat="1" ht="60" customHeight="1" spans="1:258">
      <c r="A14" s="4">
        <v>9</v>
      </c>
      <c r="B14" s="6" t="s">
        <v>28</v>
      </c>
      <c r="C14" s="4" t="s">
        <v>29</v>
      </c>
      <c r="D14" s="4">
        <v>2</v>
      </c>
      <c r="E14" s="4">
        <v>0.1</v>
      </c>
      <c r="F14" s="15">
        <f t="shared" si="0"/>
        <v>0.05</v>
      </c>
      <c r="G14" s="4">
        <v>0.5</v>
      </c>
      <c r="H14" s="16">
        <f t="shared" si="1"/>
        <v>0.25</v>
      </c>
      <c r="I14" s="25"/>
      <c r="J14" s="5"/>
      <c r="K14" s="5"/>
      <c r="L14" s="24"/>
      <c r="R14" s="26"/>
      <c r="S14" s="26"/>
      <c r="Z14" s="26"/>
      <c r="AA14" s="26"/>
      <c r="AH14" s="26"/>
      <c r="AI14" s="26"/>
      <c r="AP14" s="26"/>
      <c r="AQ14" s="26"/>
      <c r="AX14" s="26"/>
      <c r="AY14" s="26"/>
      <c r="BF14" s="26"/>
      <c r="BG14" s="26"/>
      <c r="BN14" s="26"/>
      <c r="BO14" s="26"/>
      <c r="BV14" s="26"/>
      <c r="BW14" s="26"/>
      <c r="CD14" s="26"/>
      <c r="CE14" s="26"/>
      <c r="CL14" s="26"/>
      <c r="CM14" s="26"/>
      <c r="CT14" s="26"/>
      <c r="CU14" s="26"/>
      <c r="DB14" s="26"/>
      <c r="DC14" s="26"/>
      <c r="DJ14" s="26"/>
      <c r="DK14" s="26"/>
      <c r="DR14" s="26"/>
      <c r="DS14" s="26"/>
      <c r="DZ14" s="26"/>
      <c r="EA14" s="26"/>
      <c r="EH14" s="26"/>
      <c r="EI14" s="26"/>
      <c r="EP14" s="26"/>
      <c r="EQ14" s="26"/>
      <c r="EX14" s="26"/>
      <c r="EY14" s="26"/>
      <c r="FF14" s="26"/>
      <c r="FG14" s="26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27"/>
    </row>
    <row r="15" s="19" customFormat="1" ht="60" customHeight="1" spans="1:258">
      <c r="A15" s="4">
        <v>10</v>
      </c>
      <c r="B15" s="6" t="s">
        <v>30</v>
      </c>
      <c r="C15" s="4" t="s">
        <v>29</v>
      </c>
      <c r="D15" s="4">
        <v>2</v>
      </c>
      <c r="E15" s="4">
        <v>0.1</v>
      </c>
      <c r="F15" s="15">
        <f t="shared" si="0"/>
        <v>0.05</v>
      </c>
      <c r="G15" s="4">
        <v>0.6</v>
      </c>
      <c r="H15" s="16">
        <f t="shared" si="1"/>
        <v>0.3</v>
      </c>
      <c r="I15" s="25"/>
      <c r="J15" s="5"/>
      <c r="K15" s="5"/>
      <c r="L15" s="24"/>
      <c r="R15" s="26"/>
      <c r="S15" s="26"/>
      <c r="Z15" s="26"/>
      <c r="AA15" s="26"/>
      <c r="AH15" s="26"/>
      <c r="AI15" s="26"/>
      <c r="AP15" s="26"/>
      <c r="AQ15" s="26"/>
      <c r="AX15" s="26"/>
      <c r="AY15" s="26"/>
      <c r="BF15" s="26"/>
      <c r="BG15" s="26"/>
      <c r="BN15" s="26"/>
      <c r="BO15" s="26"/>
      <c r="BV15" s="26"/>
      <c r="BW15" s="26"/>
      <c r="CD15" s="26"/>
      <c r="CE15" s="26"/>
      <c r="CL15" s="26"/>
      <c r="CM15" s="26"/>
      <c r="CT15" s="26"/>
      <c r="CU15" s="26"/>
      <c r="DB15" s="26"/>
      <c r="DC15" s="26"/>
      <c r="DJ15" s="26"/>
      <c r="DK15" s="26"/>
      <c r="DR15" s="26"/>
      <c r="DS15" s="26"/>
      <c r="DZ15" s="26"/>
      <c r="EA15" s="26"/>
      <c r="EH15" s="26"/>
      <c r="EI15" s="26"/>
      <c r="EP15" s="26"/>
      <c r="EQ15" s="26"/>
      <c r="EX15" s="26"/>
      <c r="EY15" s="26"/>
      <c r="FF15" s="26"/>
      <c r="FG15" s="26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  <c r="IW15" s="27"/>
      <c r="IX15" s="27"/>
    </row>
    <row r="16" s="18" customFormat="1" ht="46" customHeight="1" spans="10:259">
      <c r="J16" s="22"/>
      <c r="K16" s="22"/>
      <c r="L16" s="26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0"/>
      <c r="IY16" s="20"/>
    </row>
    <row r="17" s="20" customFormat="1" ht="42" customHeight="1" spans="1:257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2"/>
      <c r="L17" s="26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</row>
    <row r="18" s="20" customFormat="1" ht="42" customHeight="1" spans="1:257">
      <c r="A18" s="18"/>
      <c r="B18" s="18"/>
      <c r="C18" s="18"/>
      <c r="D18" s="18"/>
      <c r="E18" s="18"/>
      <c r="F18" s="18"/>
      <c r="G18" s="18"/>
      <c r="H18" s="18"/>
      <c r="I18" s="18"/>
      <c r="J18" s="22"/>
      <c r="K18" s="22"/>
      <c r="L18" s="26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</row>
    <row r="19" s="19" customFormat="1" ht="45.95" customHeight="1" spans="1:258">
      <c r="A19" s="18"/>
      <c r="C19" s="18"/>
      <c r="D19" s="18"/>
      <c r="E19" s="18"/>
      <c r="F19" s="18"/>
      <c r="G19" s="18"/>
      <c r="H19" s="18"/>
      <c r="I19" s="18"/>
      <c r="J19" s="22"/>
      <c r="K19" s="22"/>
      <c r="L19" s="26"/>
      <c r="R19" s="26"/>
      <c r="S19" s="26"/>
      <c r="Z19" s="26"/>
      <c r="AA19" s="26"/>
      <c r="AH19" s="26"/>
      <c r="AI19" s="26"/>
      <c r="AP19" s="26"/>
      <c r="AQ19" s="26"/>
      <c r="AX19" s="26"/>
      <c r="AY19" s="26"/>
      <c r="BF19" s="26"/>
      <c r="BG19" s="26"/>
      <c r="BN19" s="26"/>
      <c r="BO19" s="26"/>
      <c r="BV19" s="26"/>
      <c r="BW19" s="26"/>
      <c r="CD19" s="26"/>
      <c r="CE19" s="26"/>
      <c r="CL19" s="26"/>
      <c r="CM19" s="26"/>
      <c r="CT19" s="26"/>
      <c r="CU19" s="26"/>
      <c r="DB19" s="26"/>
      <c r="DC19" s="26"/>
      <c r="DJ19" s="26"/>
      <c r="DK19" s="26"/>
      <c r="DR19" s="26"/>
      <c r="DS19" s="26"/>
      <c r="DZ19" s="26"/>
      <c r="EA19" s="26"/>
      <c r="EH19" s="26"/>
      <c r="EI19" s="26"/>
      <c r="EP19" s="26"/>
      <c r="EQ19" s="26"/>
      <c r="EX19" s="26"/>
      <c r="EY19" s="26"/>
      <c r="FF19" s="26"/>
      <c r="FG19" s="26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  <c r="IW19" s="27"/>
      <c r="IX19" s="27"/>
    </row>
    <row r="20" s="18" customFormat="1" ht="46" customHeight="1" spans="1:259">
      <c r="A20" s="22"/>
      <c r="J20" s="22"/>
      <c r="K20" s="22"/>
      <c r="L20" s="26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0"/>
      <c r="IY20" s="20"/>
    </row>
    <row r="21" s="20" customFormat="1" ht="42" customHeight="1" spans="1:257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2"/>
      <c r="L21" s="26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</row>
    <row r="22" s="20" customFormat="1" ht="42" customHeight="1" spans="1:257">
      <c r="A22" s="18"/>
      <c r="B22" s="18"/>
      <c r="C22" s="18"/>
      <c r="D22" s="18"/>
      <c r="E22" s="18"/>
      <c r="F22" s="18"/>
      <c r="G22" s="18"/>
      <c r="H22" s="18"/>
      <c r="I22" s="18"/>
      <c r="J22" s="22"/>
      <c r="K22" s="22"/>
      <c r="L22" s="26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</row>
    <row r="23" s="19" customFormat="1" ht="45.95" customHeight="1" spans="1:258">
      <c r="A23" s="18"/>
      <c r="C23" s="18"/>
      <c r="D23" s="18"/>
      <c r="E23" s="18"/>
      <c r="F23" s="18"/>
      <c r="G23" s="18"/>
      <c r="H23" s="18"/>
      <c r="I23" s="18"/>
      <c r="J23" s="22"/>
      <c r="K23" s="22"/>
      <c r="L23" s="26"/>
      <c r="R23" s="26"/>
      <c r="S23" s="26"/>
      <c r="Z23" s="26"/>
      <c r="AA23" s="26"/>
      <c r="AH23" s="26"/>
      <c r="AI23" s="26"/>
      <c r="AP23" s="26"/>
      <c r="AQ23" s="26"/>
      <c r="AX23" s="26"/>
      <c r="AY23" s="26"/>
      <c r="BF23" s="26"/>
      <c r="BG23" s="26"/>
      <c r="BN23" s="26"/>
      <c r="BO23" s="26"/>
      <c r="BV23" s="26"/>
      <c r="BW23" s="26"/>
      <c r="CD23" s="26"/>
      <c r="CE23" s="26"/>
      <c r="CL23" s="26"/>
      <c r="CM23" s="26"/>
      <c r="CT23" s="26"/>
      <c r="CU23" s="26"/>
      <c r="DB23" s="26"/>
      <c r="DC23" s="26"/>
      <c r="DJ23" s="26"/>
      <c r="DK23" s="26"/>
      <c r="DR23" s="26"/>
      <c r="DS23" s="26"/>
      <c r="DZ23" s="26"/>
      <c r="EA23" s="26"/>
      <c r="EH23" s="26"/>
      <c r="EI23" s="26"/>
      <c r="EP23" s="26"/>
      <c r="EQ23" s="26"/>
      <c r="EX23" s="26"/>
      <c r="EY23" s="26"/>
      <c r="FF23" s="26"/>
      <c r="FG23" s="26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  <c r="IW23" s="27"/>
      <c r="IX23" s="27"/>
    </row>
    <row r="24" s="18" customFormat="1" ht="46" customHeight="1" spans="1:259">
      <c r="A24" s="22"/>
      <c r="J24" s="22"/>
      <c r="K24" s="22"/>
      <c r="L24" s="26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  <c r="IW24" s="21"/>
      <c r="IX24" s="20"/>
      <c r="IY24" s="20"/>
    </row>
    <row r="25" s="20" customFormat="1" ht="42" customHeight="1" spans="1:257">
      <c r="A25" s="18"/>
      <c r="B25" s="18"/>
      <c r="C25" s="18"/>
      <c r="D25" s="18"/>
      <c r="E25" s="18"/>
      <c r="F25" s="18"/>
      <c r="G25" s="18"/>
      <c r="H25" s="18"/>
      <c r="I25" s="18"/>
      <c r="J25" s="22"/>
      <c r="K25" s="22"/>
      <c r="L25" s="26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</row>
    <row r="26" s="20" customFormat="1" ht="42" customHeight="1" spans="1:257">
      <c r="A26" s="18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6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</row>
  </sheetData>
  <mergeCells count="22">
    <mergeCell ref="A1:L1"/>
    <mergeCell ref="A2:L2"/>
    <mergeCell ref="I3:K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{14aa65c0-3727-439d-96a3-4512c3ee0d3b}</x14:id>
        </ext>
      </extLst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{0dcb573b-6350-4ca3-8809-8c4dcdd2117e}</x14:id>
        </ext>
      </extLst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">
    <cfRule type="dataBar" priority="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{8bbf3851-5a30-489b-b4b0-652de392a019}</x14:id>
        </ext>
      </extLst>
    </cfRule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{84007c3d-065d-416f-a9d7-699bfd9e3fca}</x14:id>
        </ext>
      </extLst>
    </cfRule>
  </conditionalFormatting>
  <conditionalFormatting sqref="J23">
    <cfRule type="dataBar" priority="5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{81555f21-14ac-484e-9cd9-bd4b9e9efb00}</x14:id>
        </ext>
      </extLst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{0929115d-23be-478a-af36-38725d8b05e9}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aa65c0-3727-439d-96a3-4512c3ee0d3b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0dcb573b-6350-4ca3-8809-8c4dcdd2117e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8bbf3851-5a30-489b-b4b0-652de392a019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84007c3d-065d-416f-a9d7-699bfd9e3fca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J19</xm:sqref>
        </x14:conditionalFormatting>
        <x14:conditionalFormatting xmlns:xm="http://schemas.microsoft.com/office/excel/2006/main">
          <x14:cfRule type="dataBar" id="{81555f21-14ac-484e-9cd9-bd4b9e9efb00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0929115d-23be-478a-af36-38725d8b05e9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J23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Y26"/>
  <sheetViews>
    <sheetView zoomScale="70" zoomScaleNormal="70" topLeftCell="A8" workbookViewId="0">
      <selection activeCell="G16" sqref="G16"/>
    </sheetView>
  </sheetViews>
  <sheetFormatPr defaultColWidth="76" defaultRowHeight="15.6"/>
  <cols>
    <col min="1" max="1" width="27.1166666666667" style="21" customWidth="1"/>
    <col min="2" max="2" width="48.175" style="21" customWidth="1"/>
    <col min="3" max="3" width="8.15" style="21" customWidth="1"/>
    <col min="4" max="4" width="9.93333333333333" style="21" customWidth="1"/>
    <col min="5" max="5" width="9.775" style="21" customWidth="1"/>
    <col min="6" max="8" width="14.0833333333333" style="21" customWidth="1"/>
    <col min="9" max="11" width="25.5833333333333" style="21" customWidth="1"/>
    <col min="12" max="12" width="48.4833333333333" style="21" customWidth="1"/>
    <col min="13" max="13" width="91.925" style="21" customWidth="1"/>
    <col min="14" max="257" width="76.9" style="21"/>
    <col min="258" max="16384" width="76.9" style="20"/>
  </cols>
  <sheetData>
    <row r="1" s="17" customFormat="1" ht="82" customHeight="1" spans="1:259">
      <c r="A1" s="1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0"/>
      <c r="IY1" s="20"/>
    </row>
    <row r="2" s="18" customFormat="1" ht="45" customHeight="1" spans="1:259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0"/>
      <c r="IY2" s="20"/>
    </row>
    <row r="3" s="18" customFormat="1" ht="60" customHeight="1" spans="1:259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0"/>
      <c r="IY3" s="20"/>
    </row>
    <row r="4" s="19" customFormat="1" ht="60" customHeight="1" spans="1:258">
      <c r="A4" s="4">
        <v>1</v>
      </c>
      <c r="B4" s="6" t="s">
        <v>13</v>
      </c>
      <c r="C4" s="4" t="s">
        <v>14</v>
      </c>
      <c r="D4" s="4">
        <v>492</v>
      </c>
      <c r="E4" s="4">
        <v>0</v>
      </c>
      <c r="F4" s="15">
        <f t="shared" ref="F4:F15" si="0">E4/D4</f>
        <v>0</v>
      </c>
      <c r="G4" s="4">
        <f>63+11+2+14+26+18+39+29+4+5+16+25+35+8+25+6+5+5+15+15+17+22+22+5+9+15</f>
        <v>456</v>
      </c>
      <c r="H4" s="16">
        <f t="shared" ref="H4:H15" si="1">G4/D4</f>
        <v>0.926829268292683</v>
      </c>
      <c r="I4" s="23" t="s">
        <v>37</v>
      </c>
      <c r="J4" s="5" t="s">
        <v>38</v>
      </c>
      <c r="K4" s="5" t="s">
        <v>39</v>
      </c>
      <c r="L4" s="24" t="s">
        <v>74</v>
      </c>
      <c r="R4" s="26"/>
      <c r="S4" s="26"/>
      <c r="Z4" s="26"/>
      <c r="AA4" s="26"/>
      <c r="AH4" s="26"/>
      <c r="AI4" s="26"/>
      <c r="AP4" s="26"/>
      <c r="AQ4" s="26"/>
      <c r="AX4" s="26"/>
      <c r="AY4" s="26"/>
      <c r="BF4" s="26"/>
      <c r="BG4" s="26"/>
      <c r="BN4" s="26"/>
      <c r="BO4" s="26"/>
      <c r="BV4" s="26"/>
      <c r="BW4" s="26"/>
      <c r="CD4" s="26"/>
      <c r="CE4" s="26"/>
      <c r="CL4" s="26"/>
      <c r="CM4" s="26"/>
      <c r="CT4" s="26"/>
      <c r="CU4" s="26"/>
      <c r="DB4" s="26"/>
      <c r="DC4" s="26"/>
      <c r="DJ4" s="26"/>
      <c r="DK4" s="26"/>
      <c r="DR4" s="26"/>
      <c r="DS4" s="26"/>
      <c r="DZ4" s="26"/>
      <c r="EA4" s="26"/>
      <c r="EH4" s="26"/>
      <c r="EI4" s="26"/>
      <c r="EP4" s="26"/>
      <c r="EQ4" s="26"/>
      <c r="EX4" s="26"/>
      <c r="EY4" s="26"/>
      <c r="FF4" s="26"/>
      <c r="FG4" s="26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  <c r="IW4" s="27"/>
      <c r="IX4" s="27"/>
    </row>
    <row r="5" s="18" customFormat="1" ht="60" customHeight="1" spans="1:259">
      <c r="A5" s="5">
        <v>2</v>
      </c>
      <c r="B5" s="4" t="s">
        <v>16</v>
      </c>
      <c r="C5" s="4" t="s">
        <v>17</v>
      </c>
      <c r="D5" s="4">
        <v>1968</v>
      </c>
      <c r="E5" s="4">
        <v>0</v>
      </c>
      <c r="F5" s="15">
        <f t="shared" si="0"/>
        <v>0</v>
      </c>
      <c r="G5" s="4">
        <f>30+32+40+26+8+28+28+10+26+20+20+56+36+28+19+3+30+40+31+44+48+62+42+97+31+25+27+85+42+28+21+52+54+47+27+52+47+47+47+47+4+60+76+33+10+10+42+41+17</f>
        <v>1776</v>
      </c>
      <c r="H5" s="16">
        <f t="shared" si="1"/>
        <v>0.902439024390244</v>
      </c>
      <c r="I5" s="25" t="s">
        <v>75</v>
      </c>
      <c r="J5" s="5" t="s">
        <v>42</v>
      </c>
      <c r="K5" s="5" t="s">
        <v>76</v>
      </c>
      <c r="L5" s="24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0"/>
      <c r="IY5" s="20"/>
    </row>
    <row r="6" s="20" customFormat="1" ht="60" customHeight="1" spans="1:257">
      <c r="A6" s="4">
        <v>3</v>
      </c>
      <c r="B6" s="4" t="s">
        <v>18</v>
      </c>
      <c r="C6" s="4" t="s">
        <v>19</v>
      </c>
      <c r="D6" s="4">
        <v>1968</v>
      </c>
      <c r="E6" s="4">
        <v>0</v>
      </c>
      <c r="F6" s="15">
        <f t="shared" si="0"/>
        <v>0</v>
      </c>
      <c r="G6" s="4">
        <f>222+35+30+30+50+50+30+30+32+25+20+10+20+10+10+200+8+25+100+100+100+200+100+100+50+50+50+50+100</f>
        <v>1837</v>
      </c>
      <c r="H6" s="16">
        <f t="shared" si="1"/>
        <v>0.933434959349594</v>
      </c>
      <c r="I6" s="25"/>
      <c r="J6" s="5"/>
      <c r="K6" s="5"/>
      <c r="L6" s="24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</row>
    <row r="7" s="20" customFormat="1" ht="60" customHeight="1" spans="1:257">
      <c r="A7" s="4">
        <v>4</v>
      </c>
      <c r="B7" s="4" t="s">
        <v>20</v>
      </c>
      <c r="C7" s="4" t="s">
        <v>19</v>
      </c>
      <c r="D7" s="4">
        <v>1968</v>
      </c>
      <c r="E7" s="4">
        <v>0</v>
      </c>
      <c r="F7" s="15">
        <f t="shared" si="0"/>
        <v>0</v>
      </c>
      <c r="G7" s="4">
        <f>1313+8+6+6+2+18+8+5</f>
        <v>1366</v>
      </c>
      <c r="H7" s="16">
        <f t="shared" si="1"/>
        <v>0.694105691056911</v>
      </c>
      <c r="I7" s="25"/>
      <c r="J7" s="5"/>
      <c r="K7" s="5"/>
      <c r="L7" s="24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</row>
    <row r="8" s="19" customFormat="1" ht="60" customHeight="1" spans="1:258">
      <c r="A8" s="10">
        <v>5</v>
      </c>
      <c r="B8" s="11" t="s">
        <v>21</v>
      </c>
      <c r="C8" s="4" t="s">
        <v>22</v>
      </c>
      <c r="D8" s="4">
        <v>492</v>
      </c>
      <c r="E8" s="4">
        <v>0</v>
      </c>
      <c r="F8" s="15">
        <f t="shared" si="0"/>
        <v>0</v>
      </c>
      <c r="G8" s="4">
        <f>1+2+1+2+1+2+3+1+1+3+4+4+2+3+3+7+9+9+4+10+6+3+9+4+5+1+24+21+10+5+8+2+9+17+23+14+15+16+5+8+23+20+18+5+5+4+2+2+8+2+1+2+6+8+5+8+6+6+3+8+5</f>
        <v>424</v>
      </c>
      <c r="H8" s="16">
        <f t="shared" si="1"/>
        <v>0.861788617886179</v>
      </c>
      <c r="I8" s="25"/>
      <c r="J8" s="5"/>
      <c r="K8" s="5"/>
      <c r="L8" s="24"/>
      <c r="R8" s="26"/>
      <c r="S8" s="26"/>
      <c r="Z8" s="26"/>
      <c r="AA8" s="26"/>
      <c r="AH8" s="26"/>
      <c r="AI8" s="26"/>
      <c r="AP8" s="26"/>
      <c r="AQ8" s="26"/>
      <c r="AX8" s="26"/>
      <c r="AY8" s="26"/>
      <c r="BF8" s="26"/>
      <c r="BG8" s="26"/>
      <c r="BN8" s="26"/>
      <c r="BO8" s="26"/>
      <c r="BV8" s="26"/>
      <c r="BW8" s="26"/>
      <c r="CD8" s="26"/>
      <c r="CE8" s="26"/>
      <c r="CL8" s="26"/>
      <c r="CM8" s="26"/>
      <c r="CT8" s="26"/>
      <c r="CU8" s="26"/>
      <c r="DB8" s="26"/>
      <c r="DC8" s="26"/>
      <c r="DJ8" s="26"/>
      <c r="DK8" s="26"/>
      <c r="DR8" s="26"/>
      <c r="DS8" s="26"/>
      <c r="DZ8" s="26"/>
      <c r="EA8" s="26"/>
      <c r="EH8" s="26"/>
      <c r="EI8" s="26"/>
      <c r="EP8" s="26"/>
      <c r="EQ8" s="26"/>
      <c r="EX8" s="26"/>
      <c r="EY8" s="26"/>
      <c r="FF8" s="26"/>
      <c r="FG8" s="26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  <c r="IW8" s="27"/>
      <c r="IX8" s="27"/>
    </row>
    <row r="9" s="18" customFormat="1" ht="60" customHeight="1" spans="1:259">
      <c r="A9" s="12"/>
      <c r="B9" s="13"/>
      <c r="C9" s="4" t="s">
        <v>23</v>
      </c>
      <c r="D9" s="4">
        <f>D8/66</f>
        <v>7.45454545454545</v>
      </c>
      <c r="E9" s="4">
        <f>E8/66</f>
        <v>0</v>
      </c>
      <c r="F9" s="15">
        <f t="shared" si="0"/>
        <v>0</v>
      </c>
      <c r="G9" s="4">
        <f>G8/66</f>
        <v>6.42424242424242</v>
      </c>
      <c r="H9" s="16">
        <f t="shared" si="1"/>
        <v>0.861788617886179</v>
      </c>
      <c r="I9" s="25"/>
      <c r="J9" s="5"/>
      <c r="K9" s="5"/>
      <c r="L9" s="24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0"/>
      <c r="IY9" s="20"/>
    </row>
    <row r="10" s="18" customFormat="1" ht="60" customHeight="1" spans="1:259">
      <c r="A10" s="10">
        <v>6</v>
      </c>
      <c r="B10" s="10" t="s">
        <v>24</v>
      </c>
      <c r="C10" s="4" t="s">
        <v>22</v>
      </c>
      <c r="D10" s="4">
        <v>492</v>
      </c>
      <c r="E10" s="4">
        <v>2</v>
      </c>
      <c r="F10" s="15">
        <f t="shared" si="0"/>
        <v>0.0040650406504065</v>
      </c>
      <c r="G10" s="4">
        <f>373+5+6+6+2</f>
        <v>392</v>
      </c>
      <c r="H10" s="16">
        <f t="shared" si="1"/>
        <v>0.796747967479675</v>
      </c>
      <c r="I10" s="25"/>
      <c r="J10" s="5"/>
      <c r="K10" s="5"/>
      <c r="L10" s="24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0"/>
      <c r="IY10" s="20"/>
    </row>
    <row r="11" s="20" customFormat="1" ht="60" customHeight="1" spans="1:257">
      <c r="A11" s="12"/>
      <c r="B11" s="12"/>
      <c r="C11" s="4" t="s">
        <v>23</v>
      </c>
      <c r="D11" s="4">
        <f>D10/66</f>
        <v>7.45454545454545</v>
      </c>
      <c r="E11" s="4">
        <f>E10/66</f>
        <v>0.0303030303030303</v>
      </c>
      <c r="F11" s="15">
        <f t="shared" si="0"/>
        <v>0.00406504065040651</v>
      </c>
      <c r="G11" s="4">
        <f>G10/66</f>
        <v>5.93939393939394</v>
      </c>
      <c r="H11" s="16">
        <f t="shared" si="1"/>
        <v>0.796747967479675</v>
      </c>
      <c r="I11" s="25"/>
      <c r="J11" s="5"/>
      <c r="K11" s="5"/>
      <c r="L11" s="24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</row>
    <row r="12" s="20" customFormat="1" ht="60" customHeight="1" spans="1:257">
      <c r="A12" s="4">
        <v>7</v>
      </c>
      <c r="B12" s="4" t="s">
        <v>44</v>
      </c>
      <c r="C12" s="4" t="s">
        <v>26</v>
      </c>
      <c r="D12" s="4">
        <v>3</v>
      </c>
      <c r="E12" s="4">
        <v>0</v>
      </c>
      <c r="F12" s="15">
        <f t="shared" si="0"/>
        <v>0</v>
      </c>
      <c r="G12" s="4">
        <v>3</v>
      </c>
      <c r="H12" s="16">
        <f t="shared" si="1"/>
        <v>1</v>
      </c>
      <c r="I12" s="25"/>
      <c r="J12" s="5"/>
      <c r="K12" s="5"/>
      <c r="L12" s="24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</row>
    <row r="13" s="20" customFormat="1" ht="60" customHeight="1" spans="1:257">
      <c r="A13" s="4">
        <v>8</v>
      </c>
      <c r="B13" s="4" t="s">
        <v>27</v>
      </c>
      <c r="C13" s="4" t="s">
        <v>26</v>
      </c>
      <c r="D13" s="4">
        <v>32</v>
      </c>
      <c r="E13" s="4">
        <v>0</v>
      </c>
      <c r="F13" s="15">
        <f t="shared" si="0"/>
        <v>0</v>
      </c>
      <c r="G13" s="4">
        <f>19+5</f>
        <v>24</v>
      </c>
      <c r="H13" s="16">
        <f t="shared" si="1"/>
        <v>0.75</v>
      </c>
      <c r="I13" s="25"/>
      <c r="J13" s="5"/>
      <c r="K13" s="5"/>
      <c r="L13" s="24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</row>
    <row r="14" s="19" customFormat="1" ht="60" customHeight="1" spans="1:258">
      <c r="A14" s="4">
        <v>9</v>
      </c>
      <c r="B14" s="6" t="s">
        <v>28</v>
      </c>
      <c r="C14" s="4" t="s">
        <v>29</v>
      </c>
      <c r="D14" s="4">
        <v>3</v>
      </c>
      <c r="E14" s="4">
        <v>0.1</v>
      </c>
      <c r="F14" s="15">
        <f t="shared" si="0"/>
        <v>0.0333333333333333</v>
      </c>
      <c r="G14" s="4">
        <v>2.6</v>
      </c>
      <c r="H14" s="16">
        <f t="shared" si="1"/>
        <v>0.866666666666667</v>
      </c>
      <c r="I14" s="25"/>
      <c r="J14" s="5"/>
      <c r="K14" s="5"/>
      <c r="L14" s="24"/>
      <c r="R14" s="26"/>
      <c r="S14" s="26"/>
      <c r="Z14" s="26"/>
      <c r="AA14" s="26"/>
      <c r="AH14" s="26"/>
      <c r="AI14" s="26"/>
      <c r="AP14" s="26"/>
      <c r="AQ14" s="26"/>
      <c r="AX14" s="26"/>
      <c r="AY14" s="26"/>
      <c r="BF14" s="26"/>
      <c r="BG14" s="26"/>
      <c r="BN14" s="26"/>
      <c r="BO14" s="26"/>
      <c r="BV14" s="26"/>
      <c r="BW14" s="26"/>
      <c r="CD14" s="26"/>
      <c r="CE14" s="26"/>
      <c r="CL14" s="26"/>
      <c r="CM14" s="26"/>
      <c r="CT14" s="26"/>
      <c r="CU14" s="26"/>
      <c r="DB14" s="26"/>
      <c r="DC14" s="26"/>
      <c r="DJ14" s="26"/>
      <c r="DK14" s="26"/>
      <c r="DR14" s="26"/>
      <c r="DS14" s="26"/>
      <c r="DZ14" s="26"/>
      <c r="EA14" s="26"/>
      <c r="EH14" s="26"/>
      <c r="EI14" s="26"/>
      <c r="EP14" s="26"/>
      <c r="EQ14" s="26"/>
      <c r="EX14" s="26"/>
      <c r="EY14" s="26"/>
      <c r="FF14" s="26"/>
      <c r="FG14" s="26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27"/>
    </row>
    <row r="15" s="19" customFormat="1" ht="60" customHeight="1" spans="1:258">
      <c r="A15" s="4">
        <v>10</v>
      </c>
      <c r="B15" s="6" t="s">
        <v>30</v>
      </c>
      <c r="C15" s="4" t="s">
        <v>29</v>
      </c>
      <c r="D15" s="4">
        <v>3</v>
      </c>
      <c r="E15" s="4">
        <v>0.1</v>
      </c>
      <c r="F15" s="15">
        <f t="shared" si="0"/>
        <v>0.0333333333333333</v>
      </c>
      <c r="G15" s="4">
        <v>2.2</v>
      </c>
      <c r="H15" s="16">
        <f t="shared" si="1"/>
        <v>0.733333333333333</v>
      </c>
      <c r="I15" s="25"/>
      <c r="J15" s="5"/>
      <c r="K15" s="5"/>
      <c r="L15" s="24"/>
      <c r="R15" s="26"/>
      <c r="S15" s="26"/>
      <c r="Z15" s="26"/>
      <c r="AA15" s="26"/>
      <c r="AH15" s="26"/>
      <c r="AI15" s="26"/>
      <c r="AP15" s="26"/>
      <c r="AQ15" s="26"/>
      <c r="AX15" s="26"/>
      <c r="AY15" s="26"/>
      <c r="BF15" s="26"/>
      <c r="BG15" s="26"/>
      <c r="BN15" s="26"/>
      <c r="BO15" s="26"/>
      <c r="BV15" s="26"/>
      <c r="BW15" s="26"/>
      <c r="CD15" s="26"/>
      <c r="CE15" s="26"/>
      <c r="CL15" s="26"/>
      <c r="CM15" s="26"/>
      <c r="CT15" s="26"/>
      <c r="CU15" s="26"/>
      <c r="DB15" s="26"/>
      <c r="DC15" s="26"/>
      <c r="DJ15" s="26"/>
      <c r="DK15" s="26"/>
      <c r="DR15" s="26"/>
      <c r="DS15" s="26"/>
      <c r="DZ15" s="26"/>
      <c r="EA15" s="26"/>
      <c r="EH15" s="26"/>
      <c r="EI15" s="26"/>
      <c r="EP15" s="26"/>
      <c r="EQ15" s="26"/>
      <c r="EX15" s="26"/>
      <c r="EY15" s="26"/>
      <c r="FF15" s="26"/>
      <c r="FG15" s="26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  <c r="IW15" s="27"/>
      <c r="IX15" s="27"/>
    </row>
    <row r="16" s="18" customFormat="1" ht="46" customHeight="1" spans="10:259">
      <c r="J16" s="22"/>
      <c r="K16" s="22"/>
      <c r="L16" s="26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0"/>
      <c r="IY16" s="20"/>
    </row>
    <row r="17" s="20" customFormat="1" ht="42" customHeight="1" spans="1:257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2"/>
      <c r="L17" s="26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</row>
    <row r="18" s="20" customFormat="1" ht="42" customHeight="1" spans="1:257">
      <c r="A18" s="18"/>
      <c r="B18" s="18"/>
      <c r="C18" s="18"/>
      <c r="D18" s="18"/>
      <c r="E18" s="18"/>
      <c r="F18" s="18"/>
      <c r="G18" s="18"/>
      <c r="H18" s="18"/>
      <c r="I18" s="18"/>
      <c r="J18" s="22"/>
      <c r="K18" s="22"/>
      <c r="L18" s="26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</row>
    <row r="19" s="19" customFormat="1" ht="45.95" customHeight="1" spans="1:258">
      <c r="A19" s="18"/>
      <c r="C19" s="18"/>
      <c r="D19" s="18"/>
      <c r="E19" s="18"/>
      <c r="F19" s="18"/>
      <c r="G19" s="18"/>
      <c r="H19" s="18"/>
      <c r="I19" s="18"/>
      <c r="J19" s="22"/>
      <c r="K19" s="22"/>
      <c r="L19" s="26"/>
      <c r="R19" s="26"/>
      <c r="S19" s="26"/>
      <c r="Z19" s="26"/>
      <c r="AA19" s="26"/>
      <c r="AH19" s="26"/>
      <c r="AI19" s="26"/>
      <c r="AP19" s="26"/>
      <c r="AQ19" s="26"/>
      <c r="AX19" s="26"/>
      <c r="AY19" s="26"/>
      <c r="BF19" s="26"/>
      <c r="BG19" s="26"/>
      <c r="BN19" s="26"/>
      <c r="BO19" s="26"/>
      <c r="BV19" s="26"/>
      <c r="BW19" s="26"/>
      <c r="CD19" s="26"/>
      <c r="CE19" s="26"/>
      <c r="CL19" s="26"/>
      <c r="CM19" s="26"/>
      <c r="CT19" s="26"/>
      <c r="CU19" s="26"/>
      <c r="DB19" s="26"/>
      <c r="DC19" s="26"/>
      <c r="DJ19" s="26"/>
      <c r="DK19" s="26"/>
      <c r="DR19" s="26"/>
      <c r="DS19" s="26"/>
      <c r="DZ19" s="26"/>
      <c r="EA19" s="26"/>
      <c r="EH19" s="26"/>
      <c r="EI19" s="26"/>
      <c r="EP19" s="26"/>
      <c r="EQ19" s="26"/>
      <c r="EX19" s="26"/>
      <c r="EY19" s="26"/>
      <c r="FF19" s="26"/>
      <c r="FG19" s="26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  <c r="IW19" s="27"/>
      <c r="IX19" s="27"/>
    </row>
    <row r="20" s="18" customFormat="1" ht="46" customHeight="1" spans="1:259">
      <c r="A20" s="22"/>
      <c r="J20" s="22"/>
      <c r="K20" s="22"/>
      <c r="L20" s="26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0"/>
      <c r="IY20" s="20"/>
    </row>
    <row r="21" s="20" customFormat="1" ht="42" customHeight="1" spans="1:257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2"/>
      <c r="L21" s="26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</row>
    <row r="22" s="20" customFormat="1" ht="42" customHeight="1" spans="1:257">
      <c r="A22" s="18"/>
      <c r="B22" s="18"/>
      <c r="C22" s="18"/>
      <c r="D22" s="18"/>
      <c r="E22" s="18"/>
      <c r="F22" s="18"/>
      <c r="G22" s="18"/>
      <c r="H22" s="18"/>
      <c r="I22" s="18"/>
      <c r="J22" s="22"/>
      <c r="K22" s="22"/>
      <c r="L22" s="26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</row>
    <row r="23" s="19" customFormat="1" ht="45.95" customHeight="1" spans="1:258">
      <c r="A23" s="18"/>
      <c r="C23" s="18"/>
      <c r="D23" s="18"/>
      <c r="E23" s="18"/>
      <c r="F23" s="18"/>
      <c r="G23" s="18"/>
      <c r="H23" s="18"/>
      <c r="I23" s="18"/>
      <c r="J23" s="22"/>
      <c r="K23" s="22"/>
      <c r="L23" s="26"/>
      <c r="R23" s="26"/>
      <c r="S23" s="26"/>
      <c r="Z23" s="26"/>
      <c r="AA23" s="26"/>
      <c r="AH23" s="26"/>
      <c r="AI23" s="26"/>
      <c r="AP23" s="26"/>
      <c r="AQ23" s="26"/>
      <c r="AX23" s="26"/>
      <c r="AY23" s="26"/>
      <c r="BF23" s="26"/>
      <c r="BG23" s="26"/>
      <c r="BN23" s="26"/>
      <c r="BO23" s="26"/>
      <c r="BV23" s="26"/>
      <c r="BW23" s="26"/>
      <c r="CD23" s="26"/>
      <c r="CE23" s="26"/>
      <c r="CL23" s="26"/>
      <c r="CM23" s="26"/>
      <c r="CT23" s="26"/>
      <c r="CU23" s="26"/>
      <c r="DB23" s="26"/>
      <c r="DC23" s="26"/>
      <c r="DJ23" s="26"/>
      <c r="DK23" s="26"/>
      <c r="DR23" s="26"/>
      <c r="DS23" s="26"/>
      <c r="DZ23" s="26"/>
      <c r="EA23" s="26"/>
      <c r="EH23" s="26"/>
      <c r="EI23" s="26"/>
      <c r="EP23" s="26"/>
      <c r="EQ23" s="26"/>
      <c r="EX23" s="26"/>
      <c r="EY23" s="26"/>
      <c r="FF23" s="26"/>
      <c r="FG23" s="26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  <c r="IW23" s="27"/>
      <c r="IX23" s="27"/>
    </row>
    <row r="24" s="18" customFormat="1" ht="46" customHeight="1" spans="1:259">
      <c r="A24" s="22"/>
      <c r="J24" s="22"/>
      <c r="K24" s="22"/>
      <c r="L24" s="26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  <c r="IW24" s="21"/>
      <c r="IX24" s="20"/>
      <c r="IY24" s="20"/>
    </row>
    <row r="25" s="20" customFormat="1" ht="42" customHeight="1" spans="1:257">
      <c r="A25" s="18"/>
      <c r="B25" s="18"/>
      <c r="C25" s="18"/>
      <c r="D25" s="18"/>
      <c r="E25" s="18"/>
      <c r="F25" s="18"/>
      <c r="G25" s="18"/>
      <c r="H25" s="18"/>
      <c r="I25" s="18"/>
      <c r="J25" s="22"/>
      <c r="K25" s="22"/>
      <c r="L25" s="26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</row>
    <row r="26" s="20" customFormat="1" ht="42" customHeight="1" spans="1:257">
      <c r="A26" s="18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6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</row>
  </sheetData>
  <mergeCells count="22">
    <mergeCell ref="A1:L1"/>
    <mergeCell ref="A2:L2"/>
    <mergeCell ref="I3:K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{81cc7d9d-19b3-4e24-8bda-3977e53753de}</x14:id>
        </ext>
      </extLst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{9a8a9fbb-f127-48af-8fec-35e7c693a76e}</x14:id>
        </ext>
      </extLst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">
    <cfRule type="dataBar" priority="12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{4acaff4d-96bd-49e7-93c6-0f9926e82bb2}</x14:id>
        </ext>
      </extLst>
    </cfRule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{a2724abc-efdc-4944-805d-3c18ed8ced6d}</x14:id>
        </ext>
      </extLst>
    </cfRule>
  </conditionalFormatting>
  <conditionalFormatting sqref="J23">
    <cfRule type="dataBar" priority="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{2dbb9a51-3b85-4322-8709-89a489311990}</x14:id>
        </ext>
      </extLst>
    </cfRule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{fca8c6c8-7fda-407e-a690-722117d18753}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1cc7d9d-19b3-4e24-8bda-3977e53753de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9a8a9fbb-f127-48af-8fec-35e7c693a76e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4acaff4d-96bd-49e7-93c6-0f9926e82bb2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a2724abc-efdc-4944-805d-3c18ed8ced6d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J19</xm:sqref>
        </x14:conditionalFormatting>
        <x14:conditionalFormatting xmlns:xm="http://schemas.microsoft.com/office/excel/2006/main">
          <x14:cfRule type="dataBar" id="{2dbb9a51-3b85-4322-8709-89a489311990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fca8c6c8-7fda-407e-a690-722117d18753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J23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L4" sqref="L4:L15"/>
    </sheetView>
  </sheetViews>
  <sheetFormatPr defaultColWidth="9" defaultRowHeight="15.6"/>
  <cols>
    <col min="2" max="2" width="28.7" customWidth="1"/>
    <col min="4" max="4" width="8.8" hidden="1" customWidth="1"/>
    <col min="5" max="5" width="8.7" customWidth="1"/>
    <col min="6" max="6" width="8.8" hidden="1" customWidth="1"/>
    <col min="7" max="7" width="8.7" customWidth="1"/>
    <col min="8" max="8" width="0.2" hidden="1" customWidth="1"/>
    <col min="9" max="9" width="12.2" customWidth="1"/>
    <col min="10" max="10" width="15.5" customWidth="1"/>
    <col min="11" max="11" width="15.8" customWidth="1"/>
    <col min="12" max="12" width="29.4" customWidth="1"/>
  </cols>
  <sheetData>
    <row r="1" ht="45" spans="1:12">
      <c r="A1" s="1" t="s">
        <v>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5.4" spans="1:12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</row>
    <row r="4" ht="22.2" spans="1:12">
      <c r="A4" s="4">
        <v>1</v>
      </c>
      <c r="B4" s="6" t="s">
        <v>78</v>
      </c>
      <c r="C4" s="4" t="s">
        <v>79</v>
      </c>
      <c r="D4" s="4">
        <v>517</v>
      </c>
      <c r="E4" s="4">
        <v>800</v>
      </c>
      <c r="F4" s="15">
        <f>E4/D4</f>
        <v>1.54738878143133</v>
      </c>
      <c r="G4" s="4">
        <f>4144+100+330+650+260+300+300+300+356+220+600+400+426+424+450+100+100+100+100+100+220+220+300+300+900+300+300+300+700+700+1200+1200+500+500+800</f>
        <v>18200</v>
      </c>
      <c r="H4" s="16">
        <f>G4/D4</f>
        <v>35.2030947775629</v>
      </c>
      <c r="I4" s="7" t="s">
        <v>37</v>
      </c>
      <c r="J4" s="8" t="s">
        <v>38</v>
      </c>
      <c r="K4" s="8" t="s">
        <v>39</v>
      </c>
      <c r="L4" s="14" t="s">
        <v>80</v>
      </c>
    </row>
    <row r="5" ht="22.2" spans="1:12">
      <c r="A5" s="5">
        <v>2</v>
      </c>
      <c r="B5" s="4" t="s">
        <v>81</v>
      </c>
      <c r="C5" s="4" t="s">
        <v>22</v>
      </c>
      <c r="D5" s="4">
        <v>2068</v>
      </c>
      <c r="E5" s="4">
        <v>380</v>
      </c>
      <c r="F5" s="15">
        <f>E5/D5</f>
        <v>0.183752417794971</v>
      </c>
      <c r="G5" s="4">
        <f>400+150+300+30+60+62+60+85+60+220+300+600+300+300+300+33+310+300+600+400+200+150+150+60+200+100+200+250+300+300+300+300+300+600+600+300+300+380</f>
        <v>9860</v>
      </c>
      <c r="H5" s="16">
        <f>G5/D5</f>
        <v>4.7678916827853</v>
      </c>
      <c r="I5" s="9" t="s">
        <v>82</v>
      </c>
      <c r="J5" s="8" t="s">
        <v>83</v>
      </c>
      <c r="K5" s="8" t="s">
        <v>84</v>
      </c>
      <c r="L5" s="14"/>
    </row>
    <row r="6" ht="22.2" spans="1:12">
      <c r="A6" s="4">
        <v>3</v>
      </c>
      <c r="B6" s="4" t="s">
        <v>85</v>
      </c>
      <c r="C6" s="4" t="s">
        <v>22</v>
      </c>
      <c r="D6" s="4"/>
      <c r="E6" s="4">
        <v>280</v>
      </c>
      <c r="F6" s="15"/>
      <c r="G6" s="4">
        <f>568+150+152+130+130+108+108+114+230+280+100+100+40+58+50+80+80+80+450+400+400+400+100+300+130+37+18+32+70+70+50+30+80+80+80+120+120+260+80+160+200+200+200+200+200+400+400+304+204+280</f>
        <v>8613</v>
      </c>
      <c r="H6" s="16"/>
      <c r="I6" s="9"/>
      <c r="J6" s="8"/>
      <c r="K6" s="8"/>
      <c r="L6" s="14"/>
    </row>
    <row r="7" ht="22.2" spans="1:12">
      <c r="A7" s="4">
        <v>4</v>
      </c>
      <c r="B7" s="4" t="s">
        <v>86</v>
      </c>
      <c r="C7" s="4" t="s">
        <v>79</v>
      </c>
      <c r="D7" s="4">
        <v>2068</v>
      </c>
      <c r="E7" s="4">
        <v>600</v>
      </c>
      <c r="F7" s="15">
        <f>E7/D7</f>
        <v>0.290135396518375</v>
      </c>
      <c r="G7" s="4">
        <f>550+250+150+90+240+300+140+200+200+110+110+110+120+130+116+110+74+180+180+170+180+370+220+200+330+230+240+110+200+260+300+300+300+300+398+300+300+300+300+500+120+120+120+120+220+220+200+300+300+300+300+300+300+900+900+800+800+600</f>
        <v>16088</v>
      </c>
      <c r="H7" s="16">
        <f t="shared" ref="H7:H15" si="0">G7/D7</f>
        <v>7.77949709864603</v>
      </c>
      <c r="I7" s="9"/>
      <c r="J7" s="8"/>
      <c r="K7" s="8"/>
      <c r="L7" s="14"/>
    </row>
    <row r="8" ht="22.2" spans="1:12">
      <c r="A8" s="4">
        <v>5</v>
      </c>
      <c r="B8" s="4" t="s">
        <v>87</v>
      </c>
      <c r="C8" s="4" t="s">
        <v>19</v>
      </c>
      <c r="D8" s="4"/>
      <c r="E8" s="4">
        <v>78</v>
      </c>
      <c r="F8" s="15"/>
      <c r="G8" s="4">
        <f>118+12+10+18+32+8+10+12+10+12+13+11+29+29+31+300+100+35+28+22+32+15+58+36+40+40+40+50+16+17+17+13+18+35+30+60+60+60+60+78</f>
        <v>1615</v>
      </c>
      <c r="H8" s="16" t="e">
        <f t="shared" si="0"/>
        <v>#DIV/0!</v>
      </c>
      <c r="I8" s="9"/>
      <c r="J8" s="8"/>
      <c r="K8" s="8"/>
      <c r="L8" s="14"/>
    </row>
    <row r="9" ht="22.2" spans="1:12">
      <c r="A9" s="10">
        <v>6</v>
      </c>
      <c r="B9" s="11" t="s">
        <v>88</v>
      </c>
      <c r="C9" s="10" t="s">
        <v>79</v>
      </c>
      <c r="D9" s="4"/>
      <c r="E9" s="10">
        <v>0</v>
      </c>
      <c r="F9" s="15"/>
      <c r="G9" s="10">
        <f>500+300+300+300+300+300+220+300+580+500+500+500+150+300+300+600+680+600</f>
        <v>7230</v>
      </c>
      <c r="H9" s="16" t="e">
        <f t="shared" si="0"/>
        <v>#DIV/0!</v>
      </c>
      <c r="I9" s="9"/>
      <c r="J9" s="8"/>
      <c r="K9" s="8"/>
      <c r="L9" s="14"/>
    </row>
    <row r="10" ht="22.2" spans="1:12">
      <c r="A10" s="12"/>
      <c r="B10" s="13"/>
      <c r="C10" s="12"/>
      <c r="D10" s="4"/>
      <c r="E10" s="12"/>
      <c r="F10" s="15"/>
      <c r="G10" s="12"/>
      <c r="H10" s="16" t="e">
        <f t="shared" si="0"/>
        <v>#DIV/0!</v>
      </c>
      <c r="I10" s="9"/>
      <c r="J10" s="8"/>
      <c r="K10" s="8"/>
      <c r="L10" s="14"/>
    </row>
    <row r="11" ht="22.2" spans="1:12">
      <c r="A11" s="10"/>
      <c r="B11" s="10"/>
      <c r="C11" s="4"/>
      <c r="D11" s="4"/>
      <c r="E11" s="4"/>
      <c r="F11" s="15"/>
      <c r="G11" s="4"/>
      <c r="H11" s="16" t="e">
        <f t="shared" si="0"/>
        <v>#DIV/0!</v>
      </c>
      <c r="I11" s="9"/>
      <c r="J11" s="8"/>
      <c r="K11" s="8"/>
      <c r="L11" s="14"/>
    </row>
    <row r="12" ht="22.2" spans="1:12">
      <c r="A12" s="12"/>
      <c r="B12" s="12"/>
      <c r="C12" s="4"/>
      <c r="D12" s="4"/>
      <c r="E12" s="4"/>
      <c r="F12" s="15"/>
      <c r="G12" s="4"/>
      <c r="H12" s="16" t="e">
        <f t="shared" si="0"/>
        <v>#DIV/0!</v>
      </c>
      <c r="I12" s="9"/>
      <c r="J12" s="8"/>
      <c r="K12" s="8"/>
      <c r="L12" s="14"/>
    </row>
    <row r="13" ht="22.2" spans="1:12">
      <c r="A13" s="4"/>
      <c r="B13" s="4"/>
      <c r="C13" s="4"/>
      <c r="D13" s="4"/>
      <c r="E13" s="4"/>
      <c r="F13" s="15"/>
      <c r="G13" s="4"/>
      <c r="H13" s="16" t="e">
        <f t="shared" si="0"/>
        <v>#DIV/0!</v>
      </c>
      <c r="I13" s="9"/>
      <c r="J13" s="8"/>
      <c r="K13" s="8"/>
      <c r="L13" s="14"/>
    </row>
    <row r="14" ht="36" customHeight="1" spans="1:12">
      <c r="A14" s="4"/>
      <c r="B14" s="4"/>
      <c r="C14" s="4"/>
      <c r="D14" s="4"/>
      <c r="E14" s="4"/>
      <c r="F14" s="15"/>
      <c r="G14" s="4"/>
      <c r="H14" s="16" t="e">
        <f t="shared" si="0"/>
        <v>#DIV/0!</v>
      </c>
      <c r="I14" s="9"/>
      <c r="J14" s="8"/>
      <c r="K14" s="8"/>
      <c r="L14" s="14"/>
    </row>
    <row r="15" ht="22.2" spans="1:12">
      <c r="A15" s="4"/>
      <c r="B15" s="6"/>
      <c r="C15" s="4"/>
      <c r="D15" s="4"/>
      <c r="E15" s="4"/>
      <c r="F15" s="15"/>
      <c r="G15" s="4"/>
      <c r="H15" s="16" t="e">
        <f t="shared" si="0"/>
        <v>#DIV/0!</v>
      </c>
      <c r="I15" s="9"/>
      <c r="J15" s="8"/>
      <c r="K15" s="8"/>
      <c r="L15" s="14"/>
    </row>
  </sheetData>
  <mergeCells count="14">
    <mergeCell ref="A1:L1"/>
    <mergeCell ref="A2:L2"/>
    <mergeCell ref="I3:K3"/>
    <mergeCell ref="A9:A10"/>
    <mergeCell ref="A11:A12"/>
    <mergeCell ref="B9:B10"/>
    <mergeCell ref="B11:B12"/>
    <mergeCell ref="C9:C10"/>
    <mergeCell ref="E9:E10"/>
    <mergeCell ref="G9:G10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{3c12d871-a63f-4b3d-a266-5f4e7aaac065}</x14:id>
        </ext>
      </extLst>
    </cfRule>
    <cfRule type="dataBar" priority="2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{78089b68-cd16-482f-b903-7601b64de284}</x14:id>
        </ext>
      </extLst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c12d871-a63f-4b3d-a266-5f4e7aaac065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78089b68-cd16-482f-b903-7601b64de284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E13" sqref="E13"/>
    </sheetView>
  </sheetViews>
  <sheetFormatPr defaultColWidth="9" defaultRowHeight="15.6"/>
  <cols>
    <col min="2" max="2" width="28.6" customWidth="1"/>
    <col min="3" max="3" width="8.5" customWidth="1"/>
    <col min="4" max="4" width="11.1" customWidth="1"/>
    <col min="5" max="5" width="10.9" customWidth="1"/>
    <col min="6" max="6" width="15.7" customWidth="1"/>
    <col min="7" max="7" width="13.7" customWidth="1"/>
    <col min="8" max="8" width="14.3" customWidth="1"/>
    <col min="9" max="9" width="18.3" customWidth="1"/>
  </cols>
  <sheetData>
    <row r="1" ht="45" spans="1:9">
      <c r="A1" s="1" t="s">
        <v>89</v>
      </c>
      <c r="B1" s="1"/>
      <c r="C1" s="1"/>
      <c r="D1" s="1"/>
      <c r="E1" s="1"/>
      <c r="F1" s="1"/>
      <c r="G1" s="1"/>
      <c r="H1" s="1"/>
      <c r="I1" s="1"/>
    </row>
    <row r="2" spans="1:9">
      <c r="A2" s="2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</row>
    <row r="3" ht="44.4" spans="1:9">
      <c r="A3" s="4" t="s">
        <v>2</v>
      </c>
      <c r="B3" s="4" t="s">
        <v>3</v>
      </c>
      <c r="C3" s="4" t="s">
        <v>4</v>
      </c>
      <c r="D3" s="5" t="s">
        <v>7</v>
      </c>
      <c r="E3" s="5" t="s">
        <v>9</v>
      </c>
      <c r="F3" s="4" t="s">
        <v>36</v>
      </c>
      <c r="G3" s="4"/>
      <c r="H3" s="4"/>
      <c r="I3" s="4" t="s">
        <v>12</v>
      </c>
    </row>
    <row r="4" ht="22.2" spans="1:9">
      <c r="A4" s="4">
        <v>1</v>
      </c>
      <c r="B4" s="6" t="s">
        <v>27</v>
      </c>
      <c r="C4" s="4" t="s">
        <v>26</v>
      </c>
      <c r="D4" s="4">
        <v>1</v>
      </c>
      <c r="E4" s="4">
        <f>13+4+23+6+23+6+6+10+8+9+6+4+4+6+27+11+4+11+18+7+6+6+10+11+3+13+3+1</f>
        <v>259</v>
      </c>
      <c r="F4" s="7" t="s">
        <v>37</v>
      </c>
      <c r="G4" s="8" t="s">
        <v>38</v>
      </c>
      <c r="H4" s="8" t="s">
        <v>39</v>
      </c>
      <c r="I4" s="14" t="s">
        <v>90</v>
      </c>
    </row>
    <row r="5" ht="22.2" spans="1:9">
      <c r="A5" s="5">
        <v>2</v>
      </c>
      <c r="B5" s="4" t="s">
        <v>91</v>
      </c>
      <c r="C5" s="4" t="s">
        <v>22</v>
      </c>
      <c r="D5" s="4">
        <v>0</v>
      </c>
      <c r="E5" s="4">
        <f>16+16+16+16+16+48+48+48+48+48+48+24+100+26+200+138+58+45+20+42+116+90+30</f>
        <v>1257</v>
      </c>
      <c r="F5" s="9" t="s">
        <v>92</v>
      </c>
      <c r="G5" s="8" t="s">
        <v>83</v>
      </c>
      <c r="H5" s="8" t="s">
        <v>84</v>
      </c>
      <c r="I5" s="14"/>
    </row>
    <row r="6" ht="22.2" spans="1:9">
      <c r="A6" s="4">
        <v>3</v>
      </c>
      <c r="B6" s="4" t="s">
        <v>93</v>
      </c>
      <c r="C6" s="4" t="s">
        <v>22</v>
      </c>
      <c r="D6" s="4">
        <v>0</v>
      </c>
      <c r="E6" s="4">
        <f>120+48+48+72+64+60+60+60+30+200+150+150+20+32+40+50+50+30+90+128+80+135+160+180+150+80</f>
        <v>2287</v>
      </c>
      <c r="F6" s="9"/>
      <c r="G6" s="8"/>
      <c r="H6" s="8"/>
      <c r="I6" s="14"/>
    </row>
    <row r="7" ht="22.2" spans="1:9">
      <c r="A7" s="4">
        <v>4</v>
      </c>
      <c r="B7" s="4" t="s">
        <v>94</v>
      </c>
      <c r="C7" s="4" t="s">
        <v>26</v>
      </c>
      <c r="D7" s="4">
        <v>0</v>
      </c>
      <c r="E7" s="4">
        <f>17+8+8+15+8+8+8</f>
        <v>72</v>
      </c>
      <c r="F7" s="9"/>
      <c r="G7" s="8"/>
      <c r="H7" s="8"/>
      <c r="I7" s="14"/>
    </row>
    <row r="8" ht="22.2" spans="1:9">
      <c r="A8" s="4">
        <v>5</v>
      </c>
      <c r="B8" s="4" t="s">
        <v>95</v>
      </c>
      <c r="C8" s="4" t="s">
        <v>79</v>
      </c>
      <c r="D8" s="4">
        <v>100</v>
      </c>
      <c r="E8" s="4">
        <f>260+300+400+120+120+120+110+100+100+100+100+320+100+100+100+100+100+100+100+100+120+100+100+100+400+300+320+300+600+350+600+320+300+30+30+40+50+100+80+100</f>
        <v>7290</v>
      </c>
      <c r="F8" s="9"/>
      <c r="G8" s="8"/>
      <c r="H8" s="8"/>
      <c r="I8" s="14"/>
    </row>
    <row r="9" spans="1:9">
      <c r="A9" s="10">
        <v>6</v>
      </c>
      <c r="B9" s="11" t="s">
        <v>96</v>
      </c>
      <c r="C9" s="10" t="s">
        <v>79</v>
      </c>
      <c r="D9" s="10">
        <v>0</v>
      </c>
      <c r="E9" s="10">
        <v>1100</v>
      </c>
      <c r="F9" s="9"/>
      <c r="G9" s="8"/>
      <c r="H9" s="8"/>
      <c r="I9" s="14"/>
    </row>
    <row r="10" spans="1:9">
      <c r="A10" s="12"/>
      <c r="B10" s="13"/>
      <c r="C10" s="12"/>
      <c r="D10" s="12"/>
      <c r="E10" s="12"/>
      <c r="F10" s="9"/>
      <c r="G10" s="8"/>
      <c r="H10" s="8"/>
      <c r="I10" s="14"/>
    </row>
    <row r="11" spans="1:9">
      <c r="A11" s="10">
        <v>7</v>
      </c>
      <c r="B11" s="10" t="s">
        <v>97</v>
      </c>
      <c r="C11" s="10" t="s">
        <v>22</v>
      </c>
      <c r="D11" s="10">
        <v>188</v>
      </c>
      <c r="E11" s="10">
        <f>136+80+99+35+30+81+29+20+38+48+90+50+80+130+80+90+150+160+114+231+190+151+323+284+123+224+341+341+188</f>
        <v>3936</v>
      </c>
      <c r="F11" s="9"/>
      <c r="G11" s="8"/>
      <c r="H11" s="8"/>
      <c r="I11" s="14"/>
    </row>
    <row r="12" spans="1:9">
      <c r="A12" s="12"/>
      <c r="B12" s="12"/>
      <c r="C12" s="12"/>
      <c r="D12" s="12"/>
      <c r="E12" s="12"/>
      <c r="F12" s="9"/>
      <c r="G12" s="8"/>
      <c r="H12" s="8"/>
      <c r="I12" s="14"/>
    </row>
    <row r="13" ht="22.2" spans="1:9">
      <c r="A13" s="4"/>
      <c r="B13" s="4"/>
      <c r="C13" s="4"/>
      <c r="D13" s="4"/>
      <c r="E13" s="4"/>
      <c r="F13" s="9"/>
      <c r="G13" s="8"/>
      <c r="H13" s="8"/>
      <c r="I13" s="14"/>
    </row>
    <row r="14" ht="22.2" spans="1:9">
      <c r="A14" s="4"/>
      <c r="B14" s="4"/>
      <c r="C14" s="4"/>
      <c r="D14" s="4"/>
      <c r="E14" s="4"/>
      <c r="F14" s="9"/>
      <c r="G14" s="8"/>
      <c r="H14" s="8"/>
      <c r="I14" s="14"/>
    </row>
    <row r="15" ht="22.2" spans="1:9">
      <c r="A15" s="4"/>
      <c r="B15" s="6"/>
      <c r="C15" s="4"/>
      <c r="D15" s="4"/>
      <c r="E15" s="4"/>
      <c r="F15" s="9"/>
      <c r="G15" s="8"/>
      <c r="H15" s="8"/>
      <c r="I15" s="14"/>
    </row>
  </sheetData>
  <mergeCells count="17">
    <mergeCell ref="A1:I1"/>
    <mergeCell ref="A2:I2"/>
    <mergeCell ref="F3:H3"/>
    <mergeCell ref="A9:A10"/>
    <mergeCell ref="A11:A12"/>
    <mergeCell ref="B9:B10"/>
    <mergeCell ref="B11:B12"/>
    <mergeCell ref="C9:C10"/>
    <mergeCell ref="C11:C12"/>
    <mergeCell ref="D9:D10"/>
    <mergeCell ref="D11:D12"/>
    <mergeCell ref="E9:E10"/>
    <mergeCell ref="E11:E12"/>
    <mergeCell ref="F5:F15"/>
    <mergeCell ref="G5:G15"/>
    <mergeCell ref="H5:H15"/>
    <mergeCell ref="I4:I15"/>
  </mergeCells>
  <conditionalFormatting sqref="G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{c4ad5afe-2462-48b2-9b79-c826db8798c4}</x14:id>
        </ext>
      </extLst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{252fdccf-2aa7-4350-8297-c6e400a6e06d}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4ad5afe-2462-48b2-9b79-c826db8798c4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252fdccf-2aa7-4350-8297-c6e400a6e06d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G4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22"/>
  <sheetViews>
    <sheetView zoomScale="85" zoomScaleNormal="85" workbookViewId="0">
      <selection activeCell="A4" sqref="A4"/>
    </sheetView>
  </sheetViews>
  <sheetFormatPr defaultColWidth="76" defaultRowHeight="15.6"/>
  <cols>
    <col min="1" max="1" width="126.708333333333" style="21" customWidth="1"/>
    <col min="2" max="2" width="91.925" style="21" customWidth="1"/>
    <col min="3" max="246" width="76.9" style="21"/>
    <col min="247" max="16373" width="76.9" style="20"/>
    <col min="16374" max="16384" width="76.9" style="44"/>
  </cols>
  <sheetData>
    <row r="1" s="17" customFormat="1" ht="82" customHeight="1" spans="1:248">
      <c r="A1" s="1" t="s">
        <v>31</v>
      </c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0"/>
      <c r="IN1" s="20"/>
    </row>
    <row r="2" s="18" customFormat="1" ht="408" customHeight="1" spans="1:248">
      <c r="A2" s="45" t="s">
        <v>32</v>
      </c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0"/>
      <c r="IN2" s="20"/>
    </row>
    <row r="3" s="19" customFormat="1" ht="60" customHeight="1" spans="1:247">
      <c r="A3" s="46"/>
      <c r="G3" s="26"/>
      <c r="H3" s="26"/>
      <c r="O3" s="26"/>
      <c r="P3" s="26"/>
      <c r="W3" s="26"/>
      <c r="X3" s="26"/>
      <c r="AE3" s="26"/>
      <c r="AF3" s="26"/>
      <c r="AM3" s="26"/>
      <c r="AN3" s="26"/>
      <c r="AU3" s="26"/>
      <c r="AV3" s="26"/>
      <c r="BC3" s="26"/>
      <c r="BD3" s="26"/>
      <c r="BK3" s="26"/>
      <c r="BL3" s="26"/>
      <c r="BS3" s="26"/>
      <c r="BT3" s="26"/>
      <c r="CA3" s="26"/>
      <c r="CB3" s="26"/>
      <c r="CI3" s="26"/>
      <c r="CJ3" s="26"/>
      <c r="CQ3" s="26"/>
      <c r="CR3" s="26"/>
      <c r="CY3" s="26"/>
      <c r="CZ3" s="26"/>
      <c r="DG3" s="26"/>
      <c r="DH3" s="26"/>
      <c r="DO3" s="26"/>
      <c r="DP3" s="26"/>
      <c r="DW3" s="26"/>
      <c r="DX3" s="26"/>
      <c r="EE3" s="26"/>
      <c r="EF3" s="26"/>
      <c r="EM3" s="26"/>
      <c r="EN3" s="26"/>
      <c r="EU3" s="26"/>
      <c r="EV3" s="26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</row>
    <row r="4" s="18" customFormat="1" ht="60" customHeight="1" spans="1:248">
      <c r="A4" s="46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0"/>
      <c r="IN4" s="20"/>
    </row>
    <row r="5" s="20" customFormat="1" ht="60" customHeight="1" spans="1:246">
      <c r="A5" s="4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</row>
    <row r="6" s="20" customFormat="1" ht="60" customHeight="1" spans="1:246">
      <c r="A6" s="46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</row>
    <row r="7" s="19" customFormat="1" ht="60" customHeight="1" spans="1:247">
      <c r="A7" s="46"/>
      <c r="G7" s="26"/>
      <c r="H7" s="26"/>
      <c r="O7" s="26"/>
      <c r="P7" s="26"/>
      <c r="W7" s="26"/>
      <c r="X7" s="26"/>
      <c r="AE7" s="26"/>
      <c r="AF7" s="26"/>
      <c r="AM7" s="26"/>
      <c r="AN7" s="26"/>
      <c r="AU7" s="26"/>
      <c r="AV7" s="26"/>
      <c r="BC7" s="26"/>
      <c r="BD7" s="26"/>
      <c r="BK7" s="26"/>
      <c r="BL7" s="26"/>
      <c r="BS7" s="26"/>
      <c r="BT7" s="26"/>
      <c r="CA7" s="26"/>
      <c r="CB7" s="26"/>
      <c r="CI7" s="26"/>
      <c r="CJ7" s="26"/>
      <c r="CQ7" s="26"/>
      <c r="CR7" s="26"/>
      <c r="CY7" s="26"/>
      <c r="CZ7" s="26"/>
      <c r="DG7" s="26"/>
      <c r="DH7" s="26"/>
      <c r="DO7" s="26"/>
      <c r="DP7" s="26"/>
      <c r="DW7" s="26"/>
      <c r="DX7" s="26"/>
      <c r="EE7" s="26"/>
      <c r="EF7" s="26"/>
      <c r="EM7" s="26"/>
      <c r="EN7" s="26"/>
      <c r="EU7" s="26"/>
      <c r="EV7" s="26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</row>
    <row r="8" s="18" customFormat="1" ht="60" customHeight="1" spans="1:248">
      <c r="A8" s="46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0"/>
      <c r="IN8" s="20"/>
    </row>
    <row r="9" s="20" customFormat="1" ht="60" customHeight="1" spans="1:246">
      <c r="A9" s="46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</row>
    <row r="10" s="20" customFormat="1" ht="57" customHeight="1" spans="1:246">
      <c r="A10" s="46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</row>
    <row r="11" s="19" customFormat="1" ht="60" hidden="1" customHeight="1" spans="1:247">
      <c r="A11" s="47"/>
      <c r="G11" s="26"/>
      <c r="H11" s="26"/>
      <c r="O11" s="26"/>
      <c r="P11" s="26"/>
      <c r="W11" s="26"/>
      <c r="X11" s="26"/>
      <c r="AE11" s="26"/>
      <c r="AF11" s="26"/>
      <c r="AM11" s="26"/>
      <c r="AN11" s="26"/>
      <c r="AU11" s="26"/>
      <c r="AV11" s="26"/>
      <c r="BC11" s="26"/>
      <c r="BD11" s="26"/>
      <c r="BK11" s="26"/>
      <c r="BL11" s="26"/>
      <c r="BS11" s="26"/>
      <c r="BT11" s="26"/>
      <c r="CA11" s="26"/>
      <c r="CB11" s="26"/>
      <c r="CI11" s="26"/>
      <c r="CJ11" s="26"/>
      <c r="CQ11" s="26"/>
      <c r="CR11" s="26"/>
      <c r="CY11" s="26"/>
      <c r="CZ11" s="26"/>
      <c r="DG11" s="26"/>
      <c r="DH11" s="26"/>
      <c r="DO11" s="26"/>
      <c r="DP11" s="26"/>
      <c r="DW11" s="26"/>
      <c r="DX11" s="26"/>
      <c r="EE11" s="26"/>
      <c r="EF11" s="26"/>
      <c r="EM11" s="26"/>
      <c r="EN11" s="26"/>
      <c r="EU11" s="26"/>
      <c r="EV11" s="26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</row>
    <row r="12" s="18" customFormat="1" ht="46" customHeight="1" spans="74:248"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0"/>
      <c r="IN12" s="20"/>
    </row>
    <row r="13" s="20" customFormat="1" ht="42" customHeight="1" spans="1:246">
      <c r="A13" s="18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</row>
    <row r="14" s="20" customFormat="1" ht="42" customHeight="1" spans="1:246">
      <c r="A14" s="18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</row>
    <row r="15" s="19" customFormat="1" ht="45.95" customHeight="1" spans="1:247">
      <c r="A15" s="18"/>
      <c r="G15" s="26"/>
      <c r="H15" s="26"/>
      <c r="O15" s="26"/>
      <c r="P15" s="26"/>
      <c r="W15" s="26"/>
      <c r="X15" s="26"/>
      <c r="AE15" s="26"/>
      <c r="AF15" s="26"/>
      <c r="AM15" s="26"/>
      <c r="AN15" s="26"/>
      <c r="AU15" s="26"/>
      <c r="AV15" s="26"/>
      <c r="BC15" s="26"/>
      <c r="BD15" s="26"/>
      <c r="BK15" s="26"/>
      <c r="BL15" s="26"/>
      <c r="BS15" s="26"/>
      <c r="BT15" s="26"/>
      <c r="CA15" s="26"/>
      <c r="CB15" s="26"/>
      <c r="CI15" s="26"/>
      <c r="CJ15" s="26"/>
      <c r="CQ15" s="26"/>
      <c r="CR15" s="26"/>
      <c r="CY15" s="26"/>
      <c r="CZ15" s="26"/>
      <c r="DG15" s="26"/>
      <c r="DH15" s="26"/>
      <c r="DO15" s="26"/>
      <c r="DP15" s="26"/>
      <c r="DW15" s="26"/>
      <c r="DX15" s="26"/>
      <c r="EE15" s="26"/>
      <c r="EF15" s="26"/>
      <c r="EM15" s="26"/>
      <c r="EN15" s="26"/>
      <c r="EU15" s="26"/>
      <c r="EV15" s="26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</row>
    <row r="16" s="18" customFormat="1" ht="46" customHeight="1" spans="1:248">
      <c r="A16" s="22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0"/>
      <c r="IN16" s="20"/>
    </row>
    <row r="17" s="20" customFormat="1" ht="42" customHeight="1" spans="1:246">
      <c r="A17" s="18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</row>
    <row r="18" s="20" customFormat="1" ht="42" customHeight="1" spans="1:246">
      <c r="A18" s="1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</row>
    <row r="19" s="19" customFormat="1" ht="45.95" customHeight="1" spans="1:247">
      <c r="A19" s="18"/>
      <c r="G19" s="26"/>
      <c r="H19" s="26"/>
      <c r="O19" s="26"/>
      <c r="P19" s="26"/>
      <c r="W19" s="26"/>
      <c r="X19" s="26"/>
      <c r="AE19" s="26"/>
      <c r="AF19" s="26"/>
      <c r="AM19" s="26"/>
      <c r="AN19" s="26"/>
      <c r="AU19" s="26"/>
      <c r="AV19" s="26"/>
      <c r="BC19" s="26"/>
      <c r="BD19" s="26"/>
      <c r="BK19" s="26"/>
      <c r="BL19" s="26"/>
      <c r="BS19" s="26"/>
      <c r="BT19" s="26"/>
      <c r="CA19" s="26"/>
      <c r="CB19" s="26"/>
      <c r="CI19" s="26"/>
      <c r="CJ19" s="26"/>
      <c r="CQ19" s="26"/>
      <c r="CR19" s="26"/>
      <c r="CY19" s="26"/>
      <c r="CZ19" s="26"/>
      <c r="DG19" s="26"/>
      <c r="DH19" s="26"/>
      <c r="DO19" s="26"/>
      <c r="DP19" s="26"/>
      <c r="DW19" s="26"/>
      <c r="DX19" s="26"/>
      <c r="EE19" s="26"/>
      <c r="EF19" s="26"/>
      <c r="EM19" s="26"/>
      <c r="EN19" s="26"/>
      <c r="EU19" s="26"/>
      <c r="EV19" s="26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</row>
    <row r="20" s="18" customFormat="1" ht="46" customHeight="1" spans="1:248">
      <c r="A20" s="22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0"/>
      <c r="IN20" s="20"/>
    </row>
    <row r="21" s="20" customFormat="1" ht="42" customHeight="1" spans="1:246">
      <c r="A21" s="18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</row>
    <row r="22" s="20" customFormat="1" ht="42" customHeight="1" spans="1:246">
      <c r="A22" s="18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H22" sqref="H22"/>
    </sheetView>
  </sheetViews>
  <sheetFormatPr defaultColWidth="8.8" defaultRowHeight="15.6"/>
  <cols>
    <col min="2" max="2" width="16.1" customWidth="1"/>
    <col min="3" max="3" width="14.2" customWidth="1"/>
    <col min="4" max="4" width="10.5" customWidth="1"/>
    <col min="8" max="8" width="15.3" customWidth="1"/>
    <col min="9" max="9" width="18.4" customWidth="1"/>
    <col min="10" max="10" width="10.7" customWidth="1"/>
    <col min="11" max="11" width="13.6" customWidth="1"/>
    <col min="12" max="12" width="45.4" customWidth="1"/>
  </cols>
  <sheetData>
    <row r="1" ht="45" spans="1:12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2.2" spans="1:12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88.8" spans="1:12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</row>
    <row r="4" ht="44.4" spans="1:12">
      <c r="A4" s="4">
        <v>1</v>
      </c>
      <c r="B4" s="6" t="s">
        <v>13</v>
      </c>
      <c r="C4" s="4" t="s">
        <v>14</v>
      </c>
      <c r="D4" s="4">
        <v>1600</v>
      </c>
      <c r="E4" s="4">
        <v>0</v>
      </c>
      <c r="F4" s="15">
        <f t="shared" ref="F4:F15" si="0">E4/D4</f>
        <v>0</v>
      </c>
      <c r="G4" s="4">
        <f>150+50+50+15+32+32+22+16+21+50+20+40+28+32+70+30+50+54+100+51+61+63</f>
        <v>1037</v>
      </c>
      <c r="H4" s="23">
        <f t="shared" ref="H4:H15" si="1">G4/D4</f>
        <v>0.648125</v>
      </c>
      <c r="I4" s="23" t="s">
        <v>37</v>
      </c>
      <c r="J4" s="5" t="s">
        <v>38</v>
      </c>
      <c r="K4" s="5" t="s">
        <v>39</v>
      </c>
      <c r="L4" s="43" t="s">
        <v>40</v>
      </c>
    </row>
    <row r="5" ht="22.2" spans="1:12">
      <c r="A5" s="5">
        <v>2</v>
      </c>
      <c r="B5" s="4" t="s">
        <v>16</v>
      </c>
      <c r="C5" s="4" t="s">
        <v>17</v>
      </c>
      <c r="D5" s="4">
        <v>6400</v>
      </c>
      <c r="E5" s="4">
        <v>73</v>
      </c>
      <c r="F5" s="15">
        <f t="shared" si="0"/>
        <v>0.01140625</v>
      </c>
      <c r="G5" s="4">
        <f>24+15+37+30+10+30+40+40+30+40+50+32+44+20+80+172+100+84+90+93+129+165+155+137+163+116+73</f>
        <v>1999</v>
      </c>
      <c r="H5" s="23">
        <f t="shared" si="1"/>
        <v>0.31234375</v>
      </c>
      <c r="I5" s="25" t="s">
        <v>41</v>
      </c>
      <c r="J5" s="5" t="s">
        <v>42</v>
      </c>
      <c r="K5" s="5" t="s">
        <v>43</v>
      </c>
      <c r="L5" s="43"/>
    </row>
    <row r="6" ht="22.2" spans="1:12">
      <c r="A6" s="4">
        <v>3</v>
      </c>
      <c r="B6" s="4" t="s">
        <v>18</v>
      </c>
      <c r="C6" s="4" t="s">
        <v>19</v>
      </c>
      <c r="D6" s="4">
        <v>6400</v>
      </c>
      <c r="E6" s="4">
        <v>0</v>
      </c>
      <c r="F6" s="15">
        <f t="shared" si="0"/>
        <v>0</v>
      </c>
      <c r="G6" s="4">
        <f>500+500</f>
        <v>1000</v>
      </c>
      <c r="H6" s="23">
        <f t="shared" si="1"/>
        <v>0.15625</v>
      </c>
      <c r="I6" s="25"/>
      <c r="J6" s="5"/>
      <c r="K6" s="5"/>
      <c r="L6" s="43"/>
    </row>
    <row r="7" ht="22.2" spans="1:12">
      <c r="A7" s="4">
        <v>4</v>
      </c>
      <c r="B7" s="4" t="s">
        <v>20</v>
      </c>
      <c r="C7" s="4" t="s">
        <v>19</v>
      </c>
      <c r="D7" s="4">
        <v>6400</v>
      </c>
      <c r="E7" s="4">
        <v>168</v>
      </c>
      <c r="F7" s="15">
        <f t="shared" si="0"/>
        <v>0.02625</v>
      </c>
      <c r="G7" s="4">
        <f>16+24+88+80+70+68+68+64+60+100+72+84+100+136+168</f>
        <v>1198</v>
      </c>
      <c r="H7" s="23">
        <f t="shared" si="1"/>
        <v>0.1871875</v>
      </c>
      <c r="I7" s="25"/>
      <c r="J7" s="5"/>
      <c r="K7" s="5"/>
      <c r="L7" s="43"/>
    </row>
    <row r="8" ht="22.2" spans="1:12">
      <c r="A8" s="10">
        <v>5</v>
      </c>
      <c r="B8" s="11" t="s">
        <v>21</v>
      </c>
      <c r="C8" s="4" t="s">
        <v>22</v>
      </c>
      <c r="D8" s="4">
        <v>1600</v>
      </c>
      <c r="E8" s="4">
        <v>5</v>
      </c>
      <c r="F8" s="15">
        <f t="shared" si="0"/>
        <v>0.003125</v>
      </c>
      <c r="G8" s="4">
        <f>5</f>
        <v>5</v>
      </c>
      <c r="H8" s="23">
        <f t="shared" si="1"/>
        <v>0.003125</v>
      </c>
      <c r="I8" s="25"/>
      <c r="J8" s="5"/>
      <c r="K8" s="5"/>
      <c r="L8" s="43"/>
    </row>
    <row r="9" ht="22.2" spans="1:12">
      <c r="A9" s="12"/>
      <c r="B9" s="13"/>
      <c r="C9" s="4" t="s">
        <v>23</v>
      </c>
      <c r="D9" s="4">
        <f t="shared" ref="D9:G9" si="2">D8/66</f>
        <v>24.2424242424242</v>
      </c>
      <c r="E9" s="4">
        <f t="shared" si="2"/>
        <v>0.0757575757575758</v>
      </c>
      <c r="F9" s="15">
        <f t="shared" si="0"/>
        <v>0.003125</v>
      </c>
      <c r="G9" s="4">
        <f t="shared" ref="G5:G15" si="3">0</f>
        <v>0</v>
      </c>
      <c r="H9" s="23">
        <f t="shared" si="1"/>
        <v>0</v>
      </c>
      <c r="I9" s="25"/>
      <c r="J9" s="5"/>
      <c r="K9" s="5"/>
      <c r="L9" s="43"/>
    </row>
    <row r="10" ht="22.2" spans="1:12">
      <c r="A10" s="10">
        <v>6</v>
      </c>
      <c r="B10" s="10" t="s">
        <v>24</v>
      </c>
      <c r="C10" s="4" t="s">
        <v>22</v>
      </c>
      <c r="D10" s="4">
        <v>1600</v>
      </c>
      <c r="E10" s="4">
        <v>0</v>
      </c>
      <c r="F10" s="15">
        <f t="shared" si="0"/>
        <v>0</v>
      </c>
      <c r="G10" s="4">
        <f t="shared" si="3"/>
        <v>0</v>
      </c>
      <c r="H10" s="23">
        <f t="shared" si="1"/>
        <v>0</v>
      </c>
      <c r="I10" s="25"/>
      <c r="J10" s="5"/>
      <c r="K10" s="5"/>
      <c r="L10" s="43"/>
    </row>
    <row r="11" ht="22.2" spans="1:12">
      <c r="A11" s="12"/>
      <c r="B11" s="12"/>
      <c r="C11" s="4" t="s">
        <v>23</v>
      </c>
      <c r="D11" s="4">
        <f t="shared" ref="D11:G11" si="4">D10/66</f>
        <v>24.2424242424242</v>
      </c>
      <c r="E11" s="4">
        <f t="shared" si="4"/>
        <v>0</v>
      </c>
      <c r="F11" s="15">
        <f t="shared" si="0"/>
        <v>0</v>
      </c>
      <c r="G11" s="4">
        <f t="shared" si="3"/>
        <v>0</v>
      </c>
      <c r="H11" s="23">
        <f t="shared" si="1"/>
        <v>0</v>
      </c>
      <c r="I11" s="25"/>
      <c r="J11" s="5"/>
      <c r="K11" s="5"/>
      <c r="L11" s="43"/>
    </row>
    <row r="12" ht="22.2" spans="1:12">
      <c r="A12" s="4">
        <v>7</v>
      </c>
      <c r="B12" s="4" t="s">
        <v>44</v>
      </c>
      <c r="C12" s="4" t="s">
        <v>26</v>
      </c>
      <c r="D12" s="4">
        <v>6</v>
      </c>
      <c r="E12" s="4">
        <v>0</v>
      </c>
      <c r="F12" s="15">
        <f t="shared" si="0"/>
        <v>0</v>
      </c>
      <c r="G12" s="4">
        <v>5</v>
      </c>
      <c r="H12" s="23">
        <f t="shared" si="1"/>
        <v>0.833333333333333</v>
      </c>
      <c r="I12" s="25"/>
      <c r="J12" s="5"/>
      <c r="K12" s="5"/>
      <c r="L12" s="43"/>
    </row>
    <row r="13" ht="22.2" spans="1:12">
      <c r="A13" s="4">
        <v>8</v>
      </c>
      <c r="B13" s="4" t="s">
        <v>27</v>
      </c>
      <c r="C13" s="4" t="s">
        <v>26</v>
      </c>
      <c r="D13" s="4">
        <v>96</v>
      </c>
      <c r="E13" s="4">
        <v>0</v>
      </c>
      <c r="F13" s="15">
        <f t="shared" si="0"/>
        <v>0</v>
      </c>
      <c r="G13" s="4">
        <f t="shared" si="3"/>
        <v>0</v>
      </c>
      <c r="H13" s="23">
        <f t="shared" si="1"/>
        <v>0</v>
      </c>
      <c r="I13" s="25"/>
      <c r="J13" s="5"/>
      <c r="K13" s="5"/>
      <c r="L13" s="43"/>
    </row>
    <row r="14" ht="22.2" spans="1:12">
      <c r="A14" s="4">
        <v>9</v>
      </c>
      <c r="B14" s="6" t="s">
        <v>28</v>
      </c>
      <c r="C14" s="4" t="s">
        <v>29</v>
      </c>
      <c r="D14" s="4">
        <v>6</v>
      </c>
      <c r="E14" s="4">
        <v>0</v>
      </c>
      <c r="F14" s="15">
        <f t="shared" si="0"/>
        <v>0</v>
      </c>
      <c r="G14" s="4">
        <f t="shared" si="3"/>
        <v>0</v>
      </c>
      <c r="H14" s="23">
        <f t="shared" si="1"/>
        <v>0</v>
      </c>
      <c r="I14" s="25"/>
      <c r="J14" s="5"/>
      <c r="K14" s="5"/>
      <c r="L14" s="43"/>
    </row>
    <row r="15" ht="22.2" spans="1:12">
      <c r="A15" s="4">
        <v>10</v>
      </c>
      <c r="B15" s="6" t="s">
        <v>30</v>
      </c>
      <c r="C15" s="4" t="s">
        <v>29</v>
      </c>
      <c r="D15" s="4">
        <v>6</v>
      </c>
      <c r="E15" s="4">
        <v>0</v>
      </c>
      <c r="F15" s="15">
        <f t="shared" si="0"/>
        <v>0</v>
      </c>
      <c r="G15" s="4">
        <f t="shared" si="3"/>
        <v>0</v>
      </c>
      <c r="H15" s="23">
        <f t="shared" si="1"/>
        <v>0</v>
      </c>
      <c r="I15" s="25"/>
      <c r="J15" s="5"/>
      <c r="K15" s="5"/>
      <c r="L15" s="43"/>
    </row>
  </sheetData>
  <mergeCells count="11">
    <mergeCell ref="A1:L1"/>
    <mergeCell ref="A2:L2"/>
    <mergeCell ref="I3:K3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4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{8dca8f76-ab35-4956-b4d3-b3fe585fa28f}</x14:id>
        </ext>
      </extLst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{9644c7ac-5a99-46d2-bed8-b0d4176e4c3c}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dca8f76-ab35-4956-b4d3-b3fe585fa28f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9644c7ac-5a99-46d2-bed8-b0d4176e4c3c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26"/>
  <sheetViews>
    <sheetView zoomScale="70" zoomScaleNormal="70" topLeftCell="A9" workbookViewId="0">
      <selection activeCell="I17" sqref="I17"/>
    </sheetView>
  </sheetViews>
  <sheetFormatPr defaultColWidth="76" defaultRowHeight="15.6"/>
  <cols>
    <col min="1" max="1" width="27.1166666666667" style="21" customWidth="1"/>
    <col min="2" max="2" width="23" style="21" customWidth="1"/>
    <col min="3" max="3" width="8.15" style="21" customWidth="1"/>
    <col min="4" max="4" width="9.93333333333333" style="21" customWidth="1"/>
    <col min="5" max="5" width="9.775" style="21" customWidth="1"/>
    <col min="6" max="8" width="14.0833333333333" style="21" customWidth="1"/>
    <col min="9" max="9" width="25.5833333333333" style="21" customWidth="1"/>
    <col min="10" max="10" width="16.85" style="21" customWidth="1"/>
    <col min="11" max="11" width="29.5" style="21" customWidth="1"/>
    <col min="12" max="12" width="48.4833333333333" style="21" customWidth="1"/>
    <col min="13" max="255" width="76.9" style="21"/>
    <col min="256" max="16383" width="76.9" style="20"/>
    <col min="16384" max="16384" width="76" style="20"/>
  </cols>
  <sheetData>
    <row r="1" s="17" customFormat="1" ht="82" customHeight="1" spans="1:257">
      <c r="A1" s="1" t="s">
        <v>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0"/>
      <c r="IW1" s="20"/>
    </row>
    <row r="2" s="18" customFormat="1" ht="45" customHeight="1" spans="1:257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0"/>
      <c r="IW2" s="20"/>
    </row>
    <row r="3" s="18" customFormat="1" ht="60" customHeight="1" spans="1:257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0"/>
      <c r="IW3" s="20"/>
    </row>
    <row r="4" s="19" customFormat="1" ht="60" customHeight="1" spans="1:256">
      <c r="A4" s="4">
        <v>1</v>
      </c>
      <c r="B4" s="6" t="s">
        <v>13</v>
      </c>
      <c r="C4" s="4" t="s">
        <v>14</v>
      </c>
      <c r="D4" s="4">
        <v>628</v>
      </c>
      <c r="E4" s="4">
        <v>0</v>
      </c>
      <c r="F4" s="15">
        <f t="shared" ref="F4:F15" si="0">E4/D4</f>
        <v>0</v>
      </c>
      <c r="G4" s="4">
        <f>256+10+20+20+20+20+20+20+30+30+30+30+30+30+20+20+20</f>
        <v>626</v>
      </c>
      <c r="H4" s="23">
        <f t="shared" ref="H4:H15" si="1">G4/D4</f>
        <v>0.996815286624204</v>
      </c>
      <c r="I4" s="23" t="s">
        <v>37</v>
      </c>
      <c r="J4" s="5" t="s">
        <v>38</v>
      </c>
      <c r="K4" s="5" t="s">
        <v>39</v>
      </c>
      <c r="L4" s="42" t="s">
        <v>46</v>
      </c>
      <c r="P4" s="26"/>
      <c r="Q4" s="26"/>
      <c r="X4" s="26"/>
      <c r="Y4" s="26"/>
      <c r="AF4" s="26"/>
      <c r="AG4" s="26"/>
      <c r="AN4" s="26"/>
      <c r="AO4" s="26"/>
      <c r="AV4" s="26"/>
      <c r="AW4" s="26"/>
      <c r="BD4" s="26"/>
      <c r="BE4" s="26"/>
      <c r="BL4" s="26"/>
      <c r="BM4" s="26"/>
      <c r="BT4" s="26"/>
      <c r="BU4" s="26"/>
      <c r="CB4" s="26"/>
      <c r="CC4" s="26"/>
      <c r="CJ4" s="26"/>
      <c r="CK4" s="26"/>
      <c r="CR4" s="26"/>
      <c r="CS4" s="26"/>
      <c r="CZ4" s="26"/>
      <c r="DA4" s="26"/>
      <c r="DH4" s="26"/>
      <c r="DI4" s="26"/>
      <c r="DP4" s="26"/>
      <c r="DQ4" s="26"/>
      <c r="DX4" s="26"/>
      <c r="DY4" s="26"/>
      <c r="EF4" s="26"/>
      <c r="EG4" s="26"/>
      <c r="EN4" s="26"/>
      <c r="EO4" s="26"/>
      <c r="EV4" s="26"/>
      <c r="EW4" s="26"/>
      <c r="FD4" s="26"/>
      <c r="FE4" s="26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</row>
    <row r="5" s="18" customFormat="1" ht="60" customHeight="1" spans="1:257">
      <c r="A5" s="5">
        <v>2</v>
      </c>
      <c r="B5" s="4" t="s">
        <v>16</v>
      </c>
      <c r="C5" s="4" t="s">
        <v>17</v>
      </c>
      <c r="D5" s="4">
        <v>2512</v>
      </c>
      <c r="E5" s="4">
        <v>0</v>
      </c>
      <c r="F5" s="15">
        <f t="shared" si="0"/>
        <v>0</v>
      </c>
      <c r="G5" s="4">
        <f>2360</f>
        <v>2360</v>
      </c>
      <c r="H5" s="23">
        <f t="shared" si="1"/>
        <v>0.939490445859873</v>
      </c>
      <c r="I5" s="25" t="s">
        <v>42</v>
      </c>
      <c r="J5" s="5" t="s">
        <v>42</v>
      </c>
      <c r="K5" s="5" t="s">
        <v>42</v>
      </c>
      <c r="L5" s="24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0"/>
      <c r="IW5" s="20"/>
    </row>
    <row r="6" s="20" customFormat="1" ht="60" customHeight="1" spans="1:255">
      <c r="A6" s="4">
        <v>3</v>
      </c>
      <c r="B6" s="4" t="s">
        <v>18</v>
      </c>
      <c r="C6" s="4" t="s">
        <v>19</v>
      </c>
      <c r="D6" s="4">
        <v>2512</v>
      </c>
      <c r="E6" s="4">
        <v>0</v>
      </c>
      <c r="F6" s="15">
        <f t="shared" si="0"/>
        <v>0</v>
      </c>
      <c r="G6" s="4">
        <f>2360</f>
        <v>2360</v>
      </c>
      <c r="H6" s="23">
        <f t="shared" si="1"/>
        <v>0.939490445859873</v>
      </c>
      <c r="I6" s="25"/>
      <c r="J6" s="5"/>
      <c r="K6" s="5"/>
      <c r="L6" s="24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</row>
    <row r="7" s="20" customFormat="1" ht="60" customHeight="1" spans="1:255">
      <c r="A7" s="4">
        <v>4</v>
      </c>
      <c r="B7" s="4" t="s">
        <v>20</v>
      </c>
      <c r="C7" s="4" t="s">
        <v>19</v>
      </c>
      <c r="D7" s="4">
        <v>2512</v>
      </c>
      <c r="E7" s="4">
        <v>0</v>
      </c>
      <c r="F7" s="15">
        <f t="shared" si="0"/>
        <v>0</v>
      </c>
      <c r="G7" s="4">
        <f>2360</f>
        <v>2360</v>
      </c>
      <c r="H7" s="23">
        <f t="shared" si="1"/>
        <v>0.939490445859873</v>
      </c>
      <c r="I7" s="25"/>
      <c r="J7" s="5"/>
      <c r="K7" s="5"/>
      <c r="L7" s="24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</row>
    <row r="8" s="19" customFormat="1" ht="60" customHeight="1" spans="1:256">
      <c r="A8" s="10">
        <v>5</v>
      </c>
      <c r="B8" s="11" t="s">
        <v>21</v>
      </c>
      <c r="C8" s="4" t="s">
        <v>22</v>
      </c>
      <c r="D8" s="4">
        <v>628</v>
      </c>
      <c r="E8" s="4">
        <v>0</v>
      </c>
      <c r="F8" s="15">
        <f t="shared" si="0"/>
        <v>0</v>
      </c>
      <c r="G8" s="4">
        <f>3+6+10+9+12+22+20+31+38+17+4+11+12+15+18+8+16+7+13+10+10+12+10+2+6+15+6+12+11+10+6+15+24+17+5+23+15+24+8+5+5+10+21+13+10+20+8+7+12+4</f>
        <v>628</v>
      </c>
      <c r="H8" s="23">
        <f t="shared" si="1"/>
        <v>1</v>
      </c>
      <c r="I8" s="25"/>
      <c r="J8" s="5"/>
      <c r="K8" s="5"/>
      <c r="L8" s="24"/>
      <c r="P8" s="26"/>
      <c r="Q8" s="26"/>
      <c r="X8" s="26"/>
      <c r="Y8" s="26"/>
      <c r="AF8" s="26"/>
      <c r="AG8" s="26"/>
      <c r="AN8" s="26"/>
      <c r="AO8" s="26"/>
      <c r="AV8" s="26"/>
      <c r="AW8" s="26"/>
      <c r="BD8" s="26"/>
      <c r="BE8" s="26"/>
      <c r="BL8" s="26"/>
      <c r="BM8" s="26"/>
      <c r="BT8" s="26"/>
      <c r="BU8" s="26"/>
      <c r="CB8" s="26"/>
      <c r="CC8" s="26"/>
      <c r="CJ8" s="26"/>
      <c r="CK8" s="26"/>
      <c r="CR8" s="26"/>
      <c r="CS8" s="26"/>
      <c r="CZ8" s="26"/>
      <c r="DA8" s="26"/>
      <c r="DH8" s="26"/>
      <c r="DI8" s="26"/>
      <c r="DP8" s="26"/>
      <c r="DQ8" s="26"/>
      <c r="DX8" s="26"/>
      <c r="DY8" s="26"/>
      <c r="EF8" s="26"/>
      <c r="EG8" s="26"/>
      <c r="EN8" s="26"/>
      <c r="EO8" s="26"/>
      <c r="EV8" s="26"/>
      <c r="EW8" s="26"/>
      <c r="FD8" s="26"/>
      <c r="FE8" s="26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="18" customFormat="1" ht="60" customHeight="1" spans="1:257">
      <c r="A9" s="12"/>
      <c r="B9" s="13"/>
      <c r="C9" s="4" t="s">
        <v>23</v>
      </c>
      <c r="D9" s="4">
        <f>D8/66</f>
        <v>9.51515151515152</v>
      </c>
      <c r="E9" s="4">
        <f>E8/66</f>
        <v>0</v>
      </c>
      <c r="F9" s="15">
        <f t="shared" si="0"/>
        <v>0</v>
      </c>
      <c r="G9" s="4">
        <f>G8/66</f>
        <v>9.51515151515152</v>
      </c>
      <c r="H9" s="23">
        <f t="shared" si="1"/>
        <v>1</v>
      </c>
      <c r="I9" s="25"/>
      <c r="J9" s="5"/>
      <c r="K9" s="5"/>
      <c r="L9" s="24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0"/>
      <c r="IW9" s="20"/>
    </row>
    <row r="10" s="18" customFormat="1" ht="60" customHeight="1" spans="1:257">
      <c r="A10" s="10">
        <v>6</v>
      </c>
      <c r="B10" s="10" t="s">
        <v>24</v>
      </c>
      <c r="C10" s="4" t="s">
        <v>22</v>
      </c>
      <c r="D10" s="4">
        <v>628</v>
      </c>
      <c r="E10" s="4">
        <v>0</v>
      </c>
      <c r="F10" s="15">
        <f t="shared" si="0"/>
        <v>0</v>
      </c>
      <c r="G10" s="4">
        <f>609+3+4+1</f>
        <v>617</v>
      </c>
      <c r="H10" s="23">
        <f t="shared" si="1"/>
        <v>0.982484076433121</v>
      </c>
      <c r="I10" s="25"/>
      <c r="J10" s="5"/>
      <c r="K10" s="5"/>
      <c r="L10" s="24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0"/>
      <c r="IW10" s="20"/>
    </row>
    <row r="11" s="20" customFormat="1" ht="60" customHeight="1" spans="1:255">
      <c r="A11" s="12"/>
      <c r="B11" s="12"/>
      <c r="C11" s="4" t="s">
        <v>23</v>
      </c>
      <c r="D11" s="4">
        <f>D10/66</f>
        <v>9.51515151515152</v>
      </c>
      <c r="E11" s="4">
        <f>E10/66</f>
        <v>0</v>
      </c>
      <c r="F11" s="15">
        <f t="shared" si="0"/>
        <v>0</v>
      </c>
      <c r="G11" s="4">
        <f>G10/66</f>
        <v>9.34848484848485</v>
      </c>
      <c r="H11" s="23">
        <f t="shared" si="1"/>
        <v>0.982484076433121</v>
      </c>
      <c r="I11" s="25"/>
      <c r="J11" s="5"/>
      <c r="K11" s="5"/>
      <c r="L11" s="24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</row>
    <row r="12" s="20" customFormat="1" ht="60" customHeight="1" spans="1:255">
      <c r="A12" s="4">
        <v>7</v>
      </c>
      <c r="B12" s="4" t="s">
        <v>44</v>
      </c>
      <c r="C12" s="4" t="s">
        <v>26</v>
      </c>
      <c r="D12" s="4">
        <v>2</v>
      </c>
      <c r="E12" s="4">
        <v>0</v>
      </c>
      <c r="F12" s="15">
        <f t="shared" si="0"/>
        <v>0</v>
      </c>
      <c r="G12" s="4">
        <v>2</v>
      </c>
      <c r="H12" s="23">
        <f t="shared" si="1"/>
        <v>1</v>
      </c>
      <c r="I12" s="25"/>
      <c r="J12" s="5"/>
      <c r="K12" s="5"/>
      <c r="L12" s="24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</row>
    <row r="13" s="20" customFormat="1" ht="60" customHeight="1" spans="1:255">
      <c r="A13" s="4">
        <v>8</v>
      </c>
      <c r="B13" s="4" t="s">
        <v>27</v>
      </c>
      <c r="C13" s="4" t="s">
        <v>26</v>
      </c>
      <c r="D13" s="4">
        <v>31</v>
      </c>
      <c r="E13" s="4">
        <v>0</v>
      </c>
      <c r="F13" s="15">
        <f t="shared" si="0"/>
        <v>0</v>
      </c>
      <c r="G13" s="4">
        <v>30</v>
      </c>
      <c r="H13" s="23">
        <f t="shared" si="1"/>
        <v>0.967741935483871</v>
      </c>
      <c r="I13" s="25"/>
      <c r="J13" s="5"/>
      <c r="K13" s="5"/>
      <c r="L13" s="24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</row>
    <row r="14" s="19" customFormat="1" ht="60" customHeight="1" spans="1:256">
      <c r="A14" s="4">
        <v>9</v>
      </c>
      <c r="B14" s="6" t="s">
        <v>28</v>
      </c>
      <c r="C14" s="4" t="s">
        <v>29</v>
      </c>
      <c r="D14" s="4">
        <v>2</v>
      </c>
      <c r="E14" s="4">
        <v>0</v>
      </c>
      <c r="F14" s="15">
        <f t="shared" si="0"/>
        <v>0</v>
      </c>
      <c r="G14" s="4">
        <v>2</v>
      </c>
      <c r="H14" s="23">
        <f t="shared" si="1"/>
        <v>1</v>
      </c>
      <c r="I14" s="25"/>
      <c r="J14" s="5"/>
      <c r="K14" s="5"/>
      <c r="L14" s="24"/>
      <c r="P14" s="26"/>
      <c r="Q14" s="26"/>
      <c r="X14" s="26"/>
      <c r="Y14" s="26"/>
      <c r="AF14" s="26"/>
      <c r="AG14" s="26"/>
      <c r="AN14" s="26"/>
      <c r="AO14" s="26"/>
      <c r="AV14" s="26"/>
      <c r="AW14" s="26"/>
      <c r="BD14" s="26"/>
      <c r="BE14" s="26"/>
      <c r="BL14" s="26"/>
      <c r="BM14" s="26"/>
      <c r="BT14" s="26"/>
      <c r="BU14" s="26"/>
      <c r="CB14" s="26"/>
      <c r="CC14" s="26"/>
      <c r="CJ14" s="26"/>
      <c r="CK14" s="26"/>
      <c r="CR14" s="26"/>
      <c r="CS14" s="26"/>
      <c r="CZ14" s="26"/>
      <c r="DA14" s="26"/>
      <c r="DH14" s="26"/>
      <c r="DI14" s="26"/>
      <c r="DP14" s="26"/>
      <c r="DQ14" s="26"/>
      <c r="DX14" s="26"/>
      <c r="DY14" s="26"/>
      <c r="EF14" s="26"/>
      <c r="EG14" s="26"/>
      <c r="EN14" s="26"/>
      <c r="EO14" s="26"/>
      <c r="EV14" s="26"/>
      <c r="EW14" s="26"/>
      <c r="FD14" s="26"/>
      <c r="FE14" s="26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</row>
    <row r="15" s="19" customFormat="1" ht="60" customHeight="1" spans="1:256">
      <c r="A15" s="4">
        <v>10</v>
      </c>
      <c r="B15" s="6" t="s">
        <v>30</v>
      </c>
      <c r="C15" s="4" t="s">
        <v>29</v>
      </c>
      <c r="D15" s="4">
        <v>2</v>
      </c>
      <c r="E15" s="4">
        <v>0</v>
      </c>
      <c r="F15" s="15">
        <f t="shared" si="0"/>
        <v>0</v>
      </c>
      <c r="G15" s="4">
        <v>2</v>
      </c>
      <c r="H15" s="23">
        <f t="shared" si="1"/>
        <v>1</v>
      </c>
      <c r="I15" s="25"/>
      <c r="J15" s="5"/>
      <c r="K15" s="5"/>
      <c r="L15" s="24"/>
      <c r="P15" s="26"/>
      <c r="Q15" s="26"/>
      <c r="X15" s="26"/>
      <c r="Y15" s="26"/>
      <c r="AF15" s="26"/>
      <c r="AG15" s="26"/>
      <c r="AN15" s="26"/>
      <c r="AO15" s="26"/>
      <c r="AV15" s="26"/>
      <c r="AW15" s="26"/>
      <c r="BD15" s="26"/>
      <c r="BE15" s="26"/>
      <c r="BL15" s="26"/>
      <c r="BM15" s="26"/>
      <c r="BT15" s="26"/>
      <c r="BU15" s="26"/>
      <c r="CB15" s="26"/>
      <c r="CC15" s="26"/>
      <c r="CJ15" s="26"/>
      <c r="CK15" s="26"/>
      <c r="CR15" s="26"/>
      <c r="CS15" s="26"/>
      <c r="CZ15" s="26"/>
      <c r="DA15" s="26"/>
      <c r="DH15" s="26"/>
      <c r="DI15" s="26"/>
      <c r="DP15" s="26"/>
      <c r="DQ15" s="26"/>
      <c r="DX15" s="26"/>
      <c r="DY15" s="26"/>
      <c r="EF15" s="26"/>
      <c r="EG15" s="26"/>
      <c r="EN15" s="26"/>
      <c r="EO15" s="26"/>
      <c r="EV15" s="26"/>
      <c r="EW15" s="26"/>
      <c r="FD15" s="26"/>
      <c r="FE15" s="26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</row>
    <row r="16" s="18" customFormat="1" ht="46" customHeight="1" spans="10:257">
      <c r="J16" s="22"/>
      <c r="K16" s="22"/>
      <c r="L16" s="26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0"/>
      <c r="IW16" s="20"/>
    </row>
    <row r="17" s="20" customFormat="1" ht="42" customHeight="1" spans="1:255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2"/>
      <c r="L17" s="26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="20" customFormat="1" ht="42" customHeight="1" spans="1:255">
      <c r="A18" s="18"/>
      <c r="B18" s="18"/>
      <c r="C18" s="18"/>
      <c r="D18" s="18"/>
      <c r="E18" s="18"/>
      <c r="F18" s="18"/>
      <c r="G18" s="18"/>
      <c r="H18" s="18"/>
      <c r="I18" s="18"/>
      <c r="J18" s="22"/>
      <c r="K18" s="22"/>
      <c r="L18" s="26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</row>
    <row r="19" s="19" customFormat="1" ht="45.95" customHeight="1" spans="1:256">
      <c r="A19" s="18"/>
      <c r="C19" s="18"/>
      <c r="D19" s="18"/>
      <c r="E19" s="18"/>
      <c r="F19" s="18"/>
      <c r="G19" s="18"/>
      <c r="H19" s="18"/>
      <c r="I19" s="18"/>
      <c r="J19" s="22"/>
      <c r="K19" s="22"/>
      <c r="L19" s="26"/>
      <c r="P19" s="26"/>
      <c r="Q19" s="26"/>
      <c r="X19" s="26"/>
      <c r="Y19" s="26"/>
      <c r="AF19" s="26"/>
      <c r="AG19" s="26"/>
      <c r="AN19" s="26"/>
      <c r="AO19" s="26"/>
      <c r="AV19" s="26"/>
      <c r="AW19" s="26"/>
      <c r="BD19" s="26"/>
      <c r="BE19" s="26"/>
      <c r="BL19" s="26"/>
      <c r="BM19" s="26"/>
      <c r="BT19" s="26"/>
      <c r="BU19" s="26"/>
      <c r="CB19" s="26"/>
      <c r="CC19" s="26"/>
      <c r="CJ19" s="26"/>
      <c r="CK19" s="26"/>
      <c r="CR19" s="26"/>
      <c r="CS19" s="26"/>
      <c r="CZ19" s="26"/>
      <c r="DA19" s="26"/>
      <c r="DH19" s="26"/>
      <c r="DI19" s="26"/>
      <c r="DP19" s="26"/>
      <c r="DQ19" s="26"/>
      <c r="DX19" s="26"/>
      <c r="DY19" s="26"/>
      <c r="EF19" s="26"/>
      <c r="EG19" s="26"/>
      <c r="EN19" s="26"/>
      <c r="EO19" s="26"/>
      <c r="EV19" s="26"/>
      <c r="EW19" s="26"/>
      <c r="FD19" s="26"/>
      <c r="FE19" s="26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</row>
    <row r="20" s="18" customFormat="1" ht="46" customHeight="1" spans="1:257">
      <c r="A20" s="22"/>
      <c r="J20" s="22"/>
      <c r="K20" s="22"/>
      <c r="L20" s="26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0"/>
      <c r="IW20" s="20"/>
    </row>
    <row r="21" s="20" customFormat="1" ht="42" customHeight="1" spans="1:255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2"/>
      <c r="L21" s="26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</row>
    <row r="22" s="20" customFormat="1" ht="42" customHeight="1" spans="1:255">
      <c r="A22" s="18"/>
      <c r="B22" s="18"/>
      <c r="C22" s="18"/>
      <c r="D22" s="18"/>
      <c r="E22" s="18"/>
      <c r="F22" s="18"/>
      <c r="G22" s="18"/>
      <c r="H22" s="18"/>
      <c r="I22" s="18"/>
      <c r="J22" s="22"/>
      <c r="K22" s="22"/>
      <c r="L22" s="26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</row>
    <row r="23" s="19" customFormat="1" ht="45.95" customHeight="1" spans="1:256">
      <c r="A23" s="18"/>
      <c r="C23" s="18"/>
      <c r="D23" s="18"/>
      <c r="E23" s="18"/>
      <c r="F23" s="18"/>
      <c r="G23" s="18"/>
      <c r="H23" s="18"/>
      <c r="I23" s="18"/>
      <c r="J23" s="22"/>
      <c r="K23" s="22"/>
      <c r="L23" s="26"/>
      <c r="P23" s="26"/>
      <c r="Q23" s="26"/>
      <c r="X23" s="26"/>
      <c r="Y23" s="26"/>
      <c r="AF23" s="26"/>
      <c r="AG23" s="26"/>
      <c r="AN23" s="26"/>
      <c r="AO23" s="26"/>
      <c r="AV23" s="26"/>
      <c r="AW23" s="26"/>
      <c r="BD23" s="26"/>
      <c r="BE23" s="26"/>
      <c r="BL23" s="26"/>
      <c r="BM23" s="26"/>
      <c r="BT23" s="26"/>
      <c r="BU23" s="26"/>
      <c r="CB23" s="26"/>
      <c r="CC23" s="26"/>
      <c r="CJ23" s="26"/>
      <c r="CK23" s="26"/>
      <c r="CR23" s="26"/>
      <c r="CS23" s="26"/>
      <c r="CZ23" s="26"/>
      <c r="DA23" s="26"/>
      <c r="DH23" s="26"/>
      <c r="DI23" s="26"/>
      <c r="DP23" s="26"/>
      <c r="DQ23" s="26"/>
      <c r="DX23" s="26"/>
      <c r="DY23" s="26"/>
      <c r="EF23" s="26"/>
      <c r="EG23" s="26"/>
      <c r="EN23" s="26"/>
      <c r="EO23" s="26"/>
      <c r="EV23" s="26"/>
      <c r="EW23" s="26"/>
      <c r="FD23" s="26"/>
      <c r="FE23" s="26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</row>
    <row r="24" s="18" customFormat="1" ht="46" customHeight="1" spans="1:257">
      <c r="A24" s="22"/>
      <c r="J24" s="22"/>
      <c r="K24" s="22"/>
      <c r="L24" s="26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0"/>
      <c r="IW24" s="20"/>
    </row>
    <row r="25" s="20" customFormat="1" ht="42" customHeight="1" spans="1:255">
      <c r="A25" s="18"/>
      <c r="B25" s="18"/>
      <c r="C25" s="18"/>
      <c r="D25" s="18"/>
      <c r="E25" s="18"/>
      <c r="F25" s="18"/>
      <c r="G25" s="18"/>
      <c r="H25" s="18"/>
      <c r="I25" s="18"/>
      <c r="J25" s="22"/>
      <c r="K25" s="22"/>
      <c r="L25" s="26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</row>
    <row r="26" s="20" customFormat="1" ht="42" customHeight="1" spans="1:255">
      <c r="A26" s="18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6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</row>
  </sheetData>
  <mergeCells count="22">
    <mergeCell ref="A1:L1"/>
    <mergeCell ref="A2:L2"/>
    <mergeCell ref="I3:K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{105c79ed-4a6e-41c1-8058-7f77f1469959}</x14:id>
        </ext>
      </extLst>
    </cfRule>
    <cfRule type="dataBar" priority="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{0ede3013-af3d-4bed-9182-5b41b162a770}</x14:id>
        </ext>
      </extLst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">
    <cfRule type="dataBar" priority="4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{ffc865aa-348c-4c1b-908a-a10b68ad82f4}</x14:id>
        </ext>
      </extLst>
    </cfRule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{9b5a64fb-8a78-4028-a047-0c274655d96a}</x14:id>
        </ext>
      </extLst>
    </cfRule>
  </conditionalFormatting>
  <conditionalFormatting sqref="J23"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{63209485-a1bb-4526-ae7b-e2f03f7cb8c1}</x14:id>
        </ext>
      </extLst>
    </cfRule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{d0846cf9-1e05-449e-9728-5eb25f5e6d25}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05c79ed-4a6e-41c1-8058-7f77f1469959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0ede3013-af3d-4bed-9182-5b41b162a770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ffc865aa-348c-4c1b-908a-a10b68ad82f4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9b5a64fb-8a78-4028-a047-0c274655d96a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J19</xm:sqref>
        </x14:conditionalFormatting>
        <x14:conditionalFormatting xmlns:xm="http://schemas.microsoft.com/office/excel/2006/main">
          <x14:cfRule type="dataBar" id="{63209485-a1bb-4526-ae7b-e2f03f7cb8c1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d0846cf9-1e05-449e-9728-5eb25f5e6d25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26"/>
  <sheetViews>
    <sheetView zoomScale="70" zoomScaleNormal="70" topLeftCell="A3" workbookViewId="0">
      <selection activeCell="I5" sqref="I5:I15"/>
    </sheetView>
  </sheetViews>
  <sheetFormatPr defaultColWidth="76" defaultRowHeight="15.6"/>
  <cols>
    <col min="1" max="1" width="27.1166666666667" style="21" customWidth="1"/>
    <col min="2" max="2" width="48.175" style="21" customWidth="1"/>
    <col min="3" max="3" width="8.15" style="21" customWidth="1"/>
    <col min="4" max="4" width="9.93333333333333" style="21" customWidth="1"/>
    <col min="5" max="5" width="9.775" style="21" customWidth="1"/>
    <col min="6" max="8" width="14.0833333333333" style="21" customWidth="1"/>
    <col min="9" max="11" width="25.5833333333333" style="21" customWidth="1"/>
    <col min="12" max="12" width="48.4833333333333" style="21" customWidth="1"/>
    <col min="13" max="255" width="76.9" style="21"/>
    <col min="256" max="16383" width="76.9" style="20"/>
    <col min="16384" max="16384" width="76" style="20"/>
  </cols>
  <sheetData>
    <row r="1" s="17" customFormat="1" ht="82" customHeight="1" spans="1:257">
      <c r="A1" s="1" t="s">
        <v>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0"/>
      <c r="IW1" s="20"/>
    </row>
    <row r="2" s="18" customFormat="1" ht="45" customHeight="1" spans="1:257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0"/>
      <c r="IW2" s="20"/>
    </row>
    <row r="3" s="18" customFormat="1" ht="60" customHeight="1" spans="1:257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0"/>
      <c r="IW3" s="20"/>
    </row>
    <row r="4" s="19" customFormat="1" ht="60" customHeight="1" spans="1:256">
      <c r="A4" s="4">
        <v>1</v>
      </c>
      <c r="B4" s="6" t="s">
        <v>13</v>
      </c>
      <c r="C4" s="4" t="s">
        <v>14</v>
      </c>
      <c r="D4" s="4">
        <v>620</v>
      </c>
      <c r="E4" s="4">
        <v>0</v>
      </c>
      <c r="F4" s="15">
        <f t="shared" ref="F4:F15" si="0">E4/D4</f>
        <v>0</v>
      </c>
      <c r="G4" s="4">
        <f>608</f>
        <v>608</v>
      </c>
      <c r="H4" s="23">
        <f t="shared" ref="H4:H15" si="1">G4/D4</f>
        <v>0.980645161290323</v>
      </c>
      <c r="I4" s="23" t="s">
        <v>37</v>
      </c>
      <c r="J4" s="5" t="s">
        <v>38</v>
      </c>
      <c r="K4" s="5" t="s">
        <v>39</v>
      </c>
      <c r="L4" s="42" t="s">
        <v>48</v>
      </c>
      <c r="P4" s="26"/>
      <c r="Q4" s="26"/>
      <c r="X4" s="26"/>
      <c r="Y4" s="26"/>
      <c r="AF4" s="26"/>
      <c r="AG4" s="26"/>
      <c r="AN4" s="26"/>
      <c r="AO4" s="26"/>
      <c r="AV4" s="26"/>
      <c r="AW4" s="26"/>
      <c r="BD4" s="26"/>
      <c r="BE4" s="26"/>
      <c r="BL4" s="26"/>
      <c r="BM4" s="26"/>
      <c r="BT4" s="26"/>
      <c r="BU4" s="26"/>
      <c r="CB4" s="26"/>
      <c r="CC4" s="26"/>
      <c r="CJ4" s="26"/>
      <c r="CK4" s="26"/>
      <c r="CR4" s="26"/>
      <c r="CS4" s="26"/>
      <c r="CZ4" s="26"/>
      <c r="DA4" s="26"/>
      <c r="DH4" s="26"/>
      <c r="DI4" s="26"/>
      <c r="DP4" s="26"/>
      <c r="DQ4" s="26"/>
      <c r="DX4" s="26"/>
      <c r="DY4" s="26"/>
      <c r="EF4" s="26"/>
      <c r="EG4" s="26"/>
      <c r="EN4" s="26"/>
      <c r="EO4" s="26"/>
      <c r="EV4" s="26"/>
      <c r="EW4" s="26"/>
      <c r="FD4" s="26"/>
      <c r="FE4" s="26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</row>
    <row r="5" s="18" customFormat="1" ht="60" customHeight="1" spans="1:257">
      <c r="A5" s="5">
        <v>2</v>
      </c>
      <c r="B5" s="4" t="s">
        <v>16</v>
      </c>
      <c r="C5" s="4" t="s">
        <v>17</v>
      </c>
      <c r="D5" s="4">
        <f>620*4</f>
        <v>2480</v>
      </c>
      <c r="E5" s="4">
        <v>0</v>
      </c>
      <c r="F5" s="15">
        <f t="shared" si="0"/>
        <v>0</v>
      </c>
      <c r="G5" s="4">
        <f>2432</f>
        <v>2432</v>
      </c>
      <c r="H5" s="23">
        <f t="shared" si="1"/>
        <v>0.980645161290323</v>
      </c>
      <c r="I5" s="25" t="s">
        <v>42</v>
      </c>
      <c r="J5" s="5" t="s">
        <v>42</v>
      </c>
      <c r="K5" s="5" t="s">
        <v>42</v>
      </c>
      <c r="L5" s="24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0"/>
      <c r="IW5" s="20"/>
    </row>
    <row r="6" s="20" customFormat="1" ht="60" customHeight="1" spans="1:255">
      <c r="A6" s="4">
        <v>3</v>
      </c>
      <c r="B6" s="4" t="s">
        <v>18</v>
      </c>
      <c r="C6" s="4" t="s">
        <v>19</v>
      </c>
      <c r="D6" s="4">
        <v>2480</v>
      </c>
      <c r="E6" s="4">
        <v>0</v>
      </c>
      <c r="F6" s="15">
        <f t="shared" si="0"/>
        <v>0</v>
      </c>
      <c r="G6" s="4">
        <f>2432</f>
        <v>2432</v>
      </c>
      <c r="H6" s="23">
        <f t="shared" si="1"/>
        <v>0.980645161290323</v>
      </c>
      <c r="I6" s="25"/>
      <c r="J6" s="5"/>
      <c r="K6" s="5"/>
      <c r="L6" s="24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</row>
    <row r="7" s="20" customFormat="1" ht="60" customHeight="1" spans="1:255">
      <c r="A7" s="4">
        <v>4</v>
      </c>
      <c r="B7" s="4" t="s">
        <v>20</v>
      </c>
      <c r="C7" s="4" t="s">
        <v>19</v>
      </c>
      <c r="D7" s="4">
        <v>2480</v>
      </c>
      <c r="E7" s="4">
        <v>0</v>
      </c>
      <c r="F7" s="15">
        <f t="shared" si="0"/>
        <v>0</v>
      </c>
      <c r="G7" s="4">
        <f>2432</f>
        <v>2432</v>
      </c>
      <c r="H7" s="23">
        <f t="shared" si="1"/>
        <v>0.980645161290323</v>
      </c>
      <c r="I7" s="25"/>
      <c r="J7" s="5"/>
      <c r="K7" s="5"/>
      <c r="L7" s="24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</row>
    <row r="8" s="19" customFormat="1" ht="60" customHeight="1" spans="1:256">
      <c r="A8" s="10">
        <v>5</v>
      </c>
      <c r="B8" s="11" t="s">
        <v>21</v>
      </c>
      <c r="C8" s="4" t="s">
        <v>22</v>
      </c>
      <c r="D8" s="4">
        <v>620</v>
      </c>
      <c r="E8" s="4">
        <v>0</v>
      </c>
      <c r="F8" s="15">
        <f t="shared" si="0"/>
        <v>0</v>
      </c>
      <c r="G8" s="4">
        <v>608</v>
      </c>
      <c r="H8" s="23">
        <f t="shared" si="1"/>
        <v>0.980645161290323</v>
      </c>
      <c r="I8" s="25"/>
      <c r="J8" s="5"/>
      <c r="K8" s="5"/>
      <c r="L8" s="24"/>
      <c r="P8" s="26"/>
      <c r="Q8" s="26"/>
      <c r="X8" s="26"/>
      <c r="Y8" s="26"/>
      <c r="AF8" s="26"/>
      <c r="AG8" s="26"/>
      <c r="AN8" s="26"/>
      <c r="AO8" s="26"/>
      <c r="AV8" s="26"/>
      <c r="AW8" s="26"/>
      <c r="BD8" s="26"/>
      <c r="BE8" s="26"/>
      <c r="BL8" s="26"/>
      <c r="BM8" s="26"/>
      <c r="BT8" s="26"/>
      <c r="BU8" s="26"/>
      <c r="CB8" s="26"/>
      <c r="CC8" s="26"/>
      <c r="CJ8" s="26"/>
      <c r="CK8" s="26"/>
      <c r="CR8" s="26"/>
      <c r="CS8" s="26"/>
      <c r="CZ8" s="26"/>
      <c r="DA8" s="26"/>
      <c r="DH8" s="26"/>
      <c r="DI8" s="26"/>
      <c r="DP8" s="26"/>
      <c r="DQ8" s="26"/>
      <c r="DX8" s="26"/>
      <c r="DY8" s="26"/>
      <c r="EF8" s="26"/>
      <c r="EG8" s="26"/>
      <c r="EN8" s="26"/>
      <c r="EO8" s="26"/>
      <c r="EV8" s="26"/>
      <c r="EW8" s="26"/>
      <c r="FD8" s="26"/>
      <c r="FE8" s="26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="18" customFormat="1" ht="60" customHeight="1" spans="1:257">
      <c r="A9" s="12"/>
      <c r="B9" s="13"/>
      <c r="C9" s="4" t="s">
        <v>23</v>
      </c>
      <c r="D9" s="4">
        <f>D8/66</f>
        <v>9.39393939393939</v>
      </c>
      <c r="E9" s="4">
        <f>E8/66</f>
        <v>0</v>
      </c>
      <c r="F9" s="15">
        <f t="shared" si="0"/>
        <v>0</v>
      </c>
      <c r="G9" s="4">
        <f>G8/66</f>
        <v>9.21212121212121</v>
      </c>
      <c r="H9" s="23">
        <f t="shared" si="1"/>
        <v>0.980645161290323</v>
      </c>
      <c r="I9" s="25"/>
      <c r="J9" s="5"/>
      <c r="K9" s="5"/>
      <c r="L9" s="24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0"/>
      <c r="IW9" s="20"/>
    </row>
    <row r="10" s="18" customFormat="1" ht="60" customHeight="1" spans="1:257">
      <c r="A10" s="10">
        <v>6</v>
      </c>
      <c r="B10" s="10" t="s">
        <v>24</v>
      </c>
      <c r="C10" s="4" t="s">
        <v>22</v>
      </c>
      <c r="D10" s="4">
        <v>620</v>
      </c>
      <c r="E10" s="4">
        <v>0</v>
      </c>
      <c r="F10" s="15">
        <f t="shared" si="0"/>
        <v>0</v>
      </c>
      <c r="G10" s="4">
        <f>594+2+2+3</f>
        <v>601</v>
      </c>
      <c r="H10" s="23">
        <f t="shared" si="1"/>
        <v>0.969354838709677</v>
      </c>
      <c r="I10" s="25"/>
      <c r="J10" s="5"/>
      <c r="K10" s="5"/>
      <c r="L10" s="24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0"/>
      <c r="IW10" s="20"/>
    </row>
    <row r="11" s="20" customFormat="1" ht="60" customHeight="1" spans="1:255">
      <c r="A11" s="12"/>
      <c r="B11" s="12"/>
      <c r="C11" s="4" t="s">
        <v>23</v>
      </c>
      <c r="D11" s="4">
        <f>D10/66</f>
        <v>9.39393939393939</v>
      </c>
      <c r="E11" s="4">
        <f>E10/66</f>
        <v>0</v>
      </c>
      <c r="F11" s="15">
        <f t="shared" si="0"/>
        <v>0</v>
      </c>
      <c r="G11" s="4">
        <f>G10/66</f>
        <v>9.10606060606061</v>
      </c>
      <c r="H11" s="23">
        <f t="shared" si="1"/>
        <v>0.969354838709678</v>
      </c>
      <c r="I11" s="25"/>
      <c r="J11" s="5"/>
      <c r="K11" s="5"/>
      <c r="L11" s="24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</row>
    <row r="12" s="20" customFormat="1" ht="60" customHeight="1" spans="1:255">
      <c r="A12" s="4">
        <v>7</v>
      </c>
      <c r="B12" s="4" t="s">
        <v>44</v>
      </c>
      <c r="C12" s="4" t="s">
        <v>26</v>
      </c>
      <c r="D12" s="4">
        <v>3</v>
      </c>
      <c r="E12" s="4">
        <v>0</v>
      </c>
      <c r="F12" s="15">
        <f t="shared" si="0"/>
        <v>0</v>
      </c>
      <c r="G12" s="4">
        <v>3</v>
      </c>
      <c r="H12" s="23">
        <f t="shared" si="1"/>
        <v>1</v>
      </c>
      <c r="I12" s="25"/>
      <c r="J12" s="5"/>
      <c r="K12" s="5"/>
      <c r="L12" s="24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</row>
    <row r="13" s="20" customFormat="1" ht="60" customHeight="1" spans="1:255">
      <c r="A13" s="4">
        <v>8</v>
      </c>
      <c r="B13" s="4" t="s">
        <v>27</v>
      </c>
      <c r="C13" s="4" t="s">
        <v>26</v>
      </c>
      <c r="D13" s="4">
        <f>768/16-1</f>
        <v>47</v>
      </c>
      <c r="E13" s="4">
        <v>0</v>
      </c>
      <c r="F13" s="15">
        <f t="shared" si="0"/>
        <v>0</v>
      </c>
      <c r="G13" s="4">
        <f>47</f>
        <v>47</v>
      </c>
      <c r="H13" s="23">
        <f t="shared" si="1"/>
        <v>1</v>
      </c>
      <c r="I13" s="25"/>
      <c r="J13" s="5"/>
      <c r="K13" s="5"/>
      <c r="L13" s="24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</row>
    <row r="14" s="19" customFormat="1" ht="60" customHeight="1" spans="1:256">
      <c r="A14" s="4">
        <v>9</v>
      </c>
      <c r="B14" s="6" t="s">
        <v>28</v>
      </c>
      <c r="C14" s="4" t="s">
        <v>29</v>
      </c>
      <c r="D14" s="4">
        <v>3</v>
      </c>
      <c r="E14" s="4">
        <v>0</v>
      </c>
      <c r="F14" s="15">
        <f t="shared" si="0"/>
        <v>0</v>
      </c>
      <c r="G14" s="4">
        <f>2.8+0.1</f>
        <v>2.9</v>
      </c>
      <c r="H14" s="23">
        <f t="shared" si="1"/>
        <v>0.966666666666667</v>
      </c>
      <c r="I14" s="25"/>
      <c r="J14" s="5"/>
      <c r="K14" s="5"/>
      <c r="L14" s="24"/>
      <c r="P14" s="26"/>
      <c r="Q14" s="26"/>
      <c r="X14" s="26"/>
      <c r="Y14" s="26"/>
      <c r="AF14" s="26"/>
      <c r="AG14" s="26"/>
      <c r="AN14" s="26"/>
      <c r="AO14" s="26"/>
      <c r="AV14" s="26"/>
      <c r="AW14" s="26"/>
      <c r="BD14" s="26"/>
      <c r="BE14" s="26"/>
      <c r="BL14" s="26"/>
      <c r="BM14" s="26"/>
      <c r="BT14" s="26"/>
      <c r="BU14" s="26"/>
      <c r="CB14" s="26"/>
      <c r="CC14" s="26"/>
      <c r="CJ14" s="26"/>
      <c r="CK14" s="26"/>
      <c r="CR14" s="26"/>
      <c r="CS14" s="26"/>
      <c r="CZ14" s="26"/>
      <c r="DA14" s="26"/>
      <c r="DH14" s="26"/>
      <c r="DI14" s="26"/>
      <c r="DP14" s="26"/>
      <c r="DQ14" s="26"/>
      <c r="DX14" s="26"/>
      <c r="DY14" s="26"/>
      <c r="EF14" s="26"/>
      <c r="EG14" s="26"/>
      <c r="EN14" s="26"/>
      <c r="EO14" s="26"/>
      <c r="EV14" s="26"/>
      <c r="EW14" s="26"/>
      <c r="FD14" s="26"/>
      <c r="FE14" s="26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</row>
    <row r="15" s="19" customFormat="1" ht="60" customHeight="1" spans="1:256">
      <c r="A15" s="4">
        <v>10</v>
      </c>
      <c r="B15" s="6" t="s">
        <v>30</v>
      </c>
      <c r="C15" s="4" t="s">
        <v>29</v>
      </c>
      <c r="D15" s="4">
        <v>3</v>
      </c>
      <c r="E15" s="4">
        <v>0</v>
      </c>
      <c r="F15" s="15">
        <f t="shared" si="0"/>
        <v>0</v>
      </c>
      <c r="G15" s="4">
        <v>3</v>
      </c>
      <c r="H15" s="23">
        <f t="shared" si="1"/>
        <v>1</v>
      </c>
      <c r="I15" s="25"/>
      <c r="J15" s="5"/>
      <c r="K15" s="5"/>
      <c r="L15" s="24"/>
      <c r="P15" s="26"/>
      <c r="Q15" s="26"/>
      <c r="X15" s="26"/>
      <c r="Y15" s="26"/>
      <c r="AF15" s="26"/>
      <c r="AG15" s="26"/>
      <c r="AN15" s="26"/>
      <c r="AO15" s="26"/>
      <c r="AV15" s="26"/>
      <c r="AW15" s="26"/>
      <c r="BD15" s="26"/>
      <c r="BE15" s="26"/>
      <c r="BL15" s="26"/>
      <c r="BM15" s="26"/>
      <c r="BT15" s="26"/>
      <c r="BU15" s="26"/>
      <c r="CB15" s="26"/>
      <c r="CC15" s="26"/>
      <c r="CJ15" s="26"/>
      <c r="CK15" s="26"/>
      <c r="CR15" s="26"/>
      <c r="CS15" s="26"/>
      <c r="CZ15" s="26"/>
      <c r="DA15" s="26"/>
      <c r="DH15" s="26"/>
      <c r="DI15" s="26"/>
      <c r="DP15" s="26"/>
      <c r="DQ15" s="26"/>
      <c r="DX15" s="26"/>
      <c r="DY15" s="26"/>
      <c r="EF15" s="26"/>
      <c r="EG15" s="26"/>
      <c r="EN15" s="26"/>
      <c r="EO15" s="26"/>
      <c r="EV15" s="26"/>
      <c r="EW15" s="26"/>
      <c r="FD15" s="26"/>
      <c r="FE15" s="26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</row>
    <row r="16" s="18" customFormat="1" ht="46" customHeight="1" spans="10:257">
      <c r="J16" s="22"/>
      <c r="K16" s="22"/>
      <c r="L16" s="26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0"/>
      <c r="IW16" s="20"/>
    </row>
    <row r="17" s="20" customFormat="1" ht="42" customHeight="1" spans="1:255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2"/>
      <c r="L17" s="26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="20" customFormat="1" ht="42" customHeight="1" spans="1:255">
      <c r="A18" s="18"/>
      <c r="B18" s="18"/>
      <c r="C18" s="18"/>
      <c r="D18" s="18"/>
      <c r="E18" s="18"/>
      <c r="F18" s="18"/>
      <c r="G18" s="18"/>
      <c r="H18" s="18"/>
      <c r="I18" s="18"/>
      <c r="J18" s="22"/>
      <c r="K18" s="22"/>
      <c r="L18" s="26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</row>
    <row r="19" s="19" customFormat="1" ht="45.95" customHeight="1" spans="1:256">
      <c r="A19" s="18"/>
      <c r="C19" s="18"/>
      <c r="D19" s="18"/>
      <c r="E19" s="18"/>
      <c r="F19" s="18"/>
      <c r="G19" s="18"/>
      <c r="H19" s="18"/>
      <c r="I19" s="18"/>
      <c r="J19" s="22"/>
      <c r="K19" s="22"/>
      <c r="L19" s="26"/>
      <c r="P19" s="26"/>
      <c r="Q19" s="26"/>
      <c r="X19" s="26"/>
      <c r="Y19" s="26"/>
      <c r="AF19" s="26"/>
      <c r="AG19" s="26"/>
      <c r="AN19" s="26"/>
      <c r="AO19" s="26"/>
      <c r="AV19" s="26"/>
      <c r="AW19" s="26"/>
      <c r="BD19" s="26"/>
      <c r="BE19" s="26"/>
      <c r="BL19" s="26"/>
      <c r="BM19" s="26"/>
      <c r="BT19" s="26"/>
      <c r="BU19" s="26"/>
      <c r="CB19" s="26"/>
      <c r="CC19" s="26"/>
      <c r="CJ19" s="26"/>
      <c r="CK19" s="26"/>
      <c r="CR19" s="26"/>
      <c r="CS19" s="26"/>
      <c r="CZ19" s="26"/>
      <c r="DA19" s="26"/>
      <c r="DH19" s="26"/>
      <c r="DI19" s="26"/>
      <c r="DP19" s="26"/>
      <c r="DQ19" s="26"/>
      <c r="DX19" s="26"/>
      <c r="DY19" s="26"/>
      <c r="EF19" s="26"/>
      <c r="EG19" s="26"/>
      <c r="EN19" s="26"/>
      <c r="EO19" s="26"/>
      <c r="EV19" s="26"/>
      <c r="EW19" s="26"/>
      <c r="FD19" s="26"/>
      <c r="FE19" s="26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</row>
    <row r="20" s="18" customFormat="1" ht="46" customHeight="1" spans="1:257">
      <c r="A20" s="22"/>
      <c r="J20" s="22"/>
      <c r="K20" s="22"/>
      <c r="L20" s="26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0"/>
      <c r="IW20" s="20"/>
    </row>
    <row r="21" s="20" customFormat="1" ht="42" customHeight="1" spans="1:255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2"/>
      <c r="L21" s="26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</row>
    <row r="22" s="20" customFormat="1" ht="42" customHeight="1" spans="1:255">
      <c r="A22" s="18"/>
      <c r="B22" s="18"/>
      <c r="C22" s="18"/>
      <c r="D22" s="18"/>
      <c r="E22" s="18"/>
      <c r="F22" s="18"/>
      <c r="G22" s="18"/>
      <c r="H22" s="18"/>
      <c r="I22" s="18"/>
      <c r="J22" s="22"/>
      <c r="K22" s="22"/>
      <c r="L22" s="26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</row>
    <row r="23" s="19" customFormat="1" ht="45.95" customHeight="1" spans="1:256">
      <c r="A23" s="18"/>
      <c r="C23" s="18"/>
      <c r="D23" s="18"/>
      <c r="E23" s="18"/>
      <c r="F23" s="18"/>
      <c r="G23" s="18"/>
      <c r="H23" s="18"/>
      <c r="I23" s="18"/>
      <c r="J23" s="22"/>
      <c r="K23" s="22"/>
      <c r="L23" s="26"/>
      <c r="P23" s="26"/>
      <c r="Q23" s="26"/>
      <c r="X23" s="26"/>
      <c r="Y23" s="26"/>
      <c r="AF23" s="26"/>
      <c r="AG23" s="26"/>
      <c r="AN23" s="26"/>
      <c r="AO23" s="26"/>
      <c r="AV23" s="26"/>
      <c r="AW23" s="26"/>
      <c r="BD23" s="26"/>
      <c r="BE23" s="26"/>
      <c r="BL23" s="26"/>
      <c r="BM23" s="26"/>
      <c r="BT23" s="26"/>
      <c r="BU23" s="26"/>
      <c r="CB23" s="26"/>
      <c r="CC23" s="26"/>
      <c r="CJ23" s="26"/>
      <c r="CK23" s="26"/>
      <c r="CR23" s="26"/>
      <c r="CS23" s="26"/>
      <c r="CZ23" s="26"/>
      <c r="DA23" s="26"/>
      <c r="DH23" s="26"/>
      <c r="DI23" s="26"/>
      <c r="DP23" s="26"/>
      <c r="DQ23" s="26"/>
      <c r="DX23" s="26"/>
      <c r="DY23" s="26"/>
      <c r="EF23" s="26"/>
      <c r="EG23" s="26"/>
      <c r="EN23" s="26"/>
      <c r="EO23" s="26"/>
      <c r="EV23" s="26"/>
      <c r="EW23" s="26"/>
      <c r="FD23" s="26"/>
      <c r="FE23" s="26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</row>
    <row r="24" s="18" customFormat="1" ht="46" customHeight="1" spans="1:257">
      <c r="A24" s="22"/>
      <c r="J24" s="22"/>
      <c r="K24" s="22"/>
      <c r="L24" s="26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0"/>
      <c r="IW24" s="20"/>
    </row>
    <row r="25" s="20" customFormat="1" ht="42" customHeight="1" spans="1:255">
      <c r="A25" s="18"/>
      <c r="B25" s="18"/>
      <c r="C25" s="18"/>
      <c r="D25" s="18"/>
      <c r="E25" s="18"/>
      <c r="F25" s="18"/>
      <c r="G25" s="18"/>
      <c r="H25" s="18"/>
      <c r="I25" s="18"/>
      <c r="J25" s="22"/>
      <c r="K25" s="22"/>
      <c r="L25" s="26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</row>
    <row r="26" s="20" customFormat="1" ht="42" customHeight="1" spans="1:255">
      <c r="A26" s="18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6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</row>
  </sheetData>
  <mergeCells count="22">
    <mergeCell ref="A1:L1"/>
    <mergeCell ref="A2:L2"/>
    <mergeCell ref="I3:K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{06cfeaef-ee1b-4eea-bc34-72d081431c0a}</x14:id>
        </ext>
      </extLst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{ee69ab4b-2040-4e1f-bede-0081a6e4974c}</x14:id>
        </ext>
      </extLst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">
    <cfRule type="dataBar" priority="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{f4a565ad-0010-4e5a-afc7-2533d41741eb}</x14:id>
        </ext>
      </extLst>
    </cfRule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{725fdfd5-7658-4980-af08-45cc08c5b7dc}</x14:id>
        </ext>
      </extLst>
    </cfRule>
  </conditionalFormatting>
  <conditionalFormatting sqref="J23">
    <cfRule type="dataBar" priority="5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{477db996-322e-4b00-9bb6-e7ceb0fa04b0}</x14:id>
        </ext>
      </extLst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{b0639fec-a409-470d-b598-60918f9711b3}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6cfeaef-ee1b-4eea-bc34-72d081431c0a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ee69ab4b-2040-4e1f-bede-0081a6e4974c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f4a565ad-0010-4e5a-afc7-2533d41741eb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725fdfd5-7658-4980-af08-45cc08c5b7dc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J19</xm:sqref>
        </x14:conditionalFormatting>
        <x14:conditionalFormatting xmlns:xm="http://schemas.microsoft.com/office/excel/2006/main">
          <x14:cfRule type="dataBar" id="{477db996-322e-4b00-9bb6-e7ceb0fa04b0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b0639fec-a409-470d-b598-60918f9711b3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26"/>
  <sheetViews>
    <sheetView zoomScale="70" zoomScaleNormal="70" topLeftCell="A2" workbookViewId="0">
      <selection activeCell="F17" sqref="F17"/>
    </sheetView>
  </sheetViews>
  <sheetFormatPr defaultColWidth="76" defaultRowHeight="15.6"/>
  <cols>
    <col min="1" max="1" width="27.1166666666667" style="21" customWidth="1"/>
    <col min="2" max="2" width="48.175" style="21" customWidth="1"/>
    <col min="3" max="3" width="8.15" style="21" customWidth="1"/>
    <col min="4" max="4" width="9.93333333333333" style="21" customWidth="1"/>
    <col min="5" max="5" width="9.775" style="21" customWidth="1"/>
    <col min="6" max="8" width="14.0833333333333" style="21" customWidth="1"/>
    <col min="9" max="11" width="25.5833333333333" style="21" customWidth="1"/>
    <col min="12" max="12" width="48.4833333333333" style="21" customWidth="1"/>
    <col min="13" max="255" width="76.9" style="21"/>
    <col min="256" max="16383" width="76.9" style="20"/>
    <col min="16384" max="16384" width="76" style="20"/>
  </cols>
  <sheetData>
    <row r="1" s="17" customFormat="1" ht="82" customHeight="1" spans="1:257">
      <c r="A1" s="1" t="s">
        <v>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0"/>
      <c r="IW1" s="20"/>
    </row>
    <row r="2" s="18" customFormat="1" ht="45" customHeight="1" spans="1:257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0"/>
      <c r="IW2" s="20"/>
    </row>
    <row r="3" s="18" customFormat="1" ht="57" customHeight="1" spans="1:257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0"/>
      <c r="IW3" s="20"/>
    </row>
    <row r="4" s="19" customFormat="1" ht="60" customHeight="1" spans="1:256">
      <c r="A4" s="4">
        <v>1</v>
      </c>
      <c r="B4" s="6" t="s">
        <v>13</v>
      </c>
      <c r="C4" s="4" t="s">
        <v>14</v>
      </c>
      <c r="D4" s="4">
        <v>0</v>
      </c>
      <c r="E4" s="4">
        <v>0</v>
      </c>
      <c r="F4" s="15">
        <v>0</v>
      </c>
      <c r="G4" s="4">
        <v>0</v>
      </c>
      <c r="H4" s="23">
        <v>0</v>
      </c>
      <c r="I4" s="23" t="s">
        <v>37</v>
      </c>
      <c r="J4" s="5" t="s">
        <v>38</v>
      </c>
      <c r="K4" s="5" t="s">
        <v>39</v>
      </c>
      <c r="L4" s="24" t="s">
        <v>50</v>
      </c>
      <c r="P4" s="26"/>
      <c r="Q4" s="26"/>
      <c r="X4" s="26"/>
      <c r="Y4" s="26"/>
      <c r="AF4" s="26"/>
      <c r="AG4" s="26"/>
      <c r="AN4" s="26"/>
      <c r="AO4" s="26"/>
      <c r="AV4" s="26"/>
      <c r="AW4" s="26"/>
      <c r="BD4" s="26"/>
      <c r="BE4" s="26"/>
      <c r="BL4" s="26"/>
      <c r="BM4" s="26"/>
      <c r="BT4" s="26"/>
      <c r="BU4" s="26"/>
      <c r="CB4" s="26"/>
      <c r="CC4" s="26"/>
      <c r="CJ4" s="26"/>
      <c r="CK4" s="26"/>
      <c r="CR4" s="26"/>
      <c r="CS4" s="26"/>
      <c r="CZ4" s="26"/>
      <c r="DA4" s="26"/>
      <c r="DH4" s="26"/>
      <c r="DI4" s="26"/>
      <c r="DP4" s="26"/>
      <c r="DQ4" s="26"/>
      <c r="DX4" s="26"/>
      <c r="DY4" s="26"/>
      <c r="EF4" s="26"/>
      <c r="EG4" s="26"/>
      <c r="EN4" s="26"/>
      <c r="EO4" s="26"/>
      <c r="EV4" s="26"/>
      <c r="EW4" s="26"/>
      <c r="FD4" s="26"/>
      <c r="FE4" s="26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</row>
    <row r="5" s="18" customFormat="1" ht="60" customHeight="1" spans="1:257">
      <c r="A5" s="5">
        <v>2</v>
      </c>
      <c r="B5" s="4" t="s">
        <v>16</v>
      </c>
      <c r="C5" s="4" t="s">
        <v>17</v>
      </c>
      <c r="D5" s="4">
        <v>1440</v>
      </c>
      <c r="E5" s="4">
        <v>0</v>
      </c>
      <c r="F5" s="15">
        <f t="shared" ref="F5:F15" si="0">E5/D5</f>
        <v>0</v>
      </c>
      <c r="G5" s="4">
        <f>20+30+28+35+27+40+42+36+50+46+46+8+7+20+28+34+41+9+45+26+45+58+40+18+16+30+35+59+40+30+34+67+30+50+62+68+68</f>
        <v>1368</v>
      </c>
      <c r="H5" s="23">
        <f t="shared" ref="H5:H15" si="1">G5/D5</f>
        <v>0.95</v>
      </c>
      <c r="I5" s="25" t="s">
        <v>42</v>
      </c>
      <c r="J5" s="5" t="s">
        <v>42</v>
      </c>
      <c r="K5" s="5" t="s">
        <v>42</v>
      </c>
      <c r="L5" s="24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0"/>
      <c r="IW5" s="20"/>
    </row>
    <row r="6" s="20" customFormat="1" ht="60" customHeight="1" spans="1:255">
      <c r="A6" s="4">
        <v>3</v>
      </c>
      <c r="B6" s="4" t="s">
        <v>18</v>
      </c>
      <c r="C6" s="4" t="s">
        <v>19</v>
      </c>
      <c r="D6" s="4">
        <v>1440</v>
      </c>
      <c r="E6" s="4">
        <v>0</v>
      </c>
      <c r="F6" s="15">
        <f t="shared" si="0"/>
        <v>0</v>
      </c>
      <c r="G6" s="4">
        <f>9+9+40+40+20+20+25+65+87+89+50+40+82+93+30+96+61+51+22+15+20+30+10+23+63+77+51+51+99</f>
        <v>1368</v>
      </c>
      <c r="H6" s="23">
        <f t="shared" si="1"/>
        <v>0.95</v>
      </c>
      <c r="I6" s="25"/>
      <c r="J6" s="5"/>
      <c r="K6" s="5"/>
      <c r="L6" s="24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</row>
    <row r="7" s="20" customFormat="1" ht="60" customHeight="1" spans="1:255">
      <c r="A7" s="4">
        <v>4</v>
      </c>
      <c r="B7" s="4" t="s">
        <v>20</v>
      </c>
      <c r="C7" s="4" t="s">
        <v>19</v>
      </c>
      <c r="D7" s="4">
        <v>1440</v>
      </c>
      <c r="E7" s="4">
        <v>0</v>
      </c>
      <c r="F7" s="15">
        <f t="shared" si="0"/>
        <v>0</v>
      </c>
      <c r="G7" s="4">
        <f>4+8+4+4+4+16+28+20+39+40+19+38+29+39+30+19+20+48+30+46+20+33+21+50+58+27+24+34+59+52+30+30+16+52+28+40+37+38+34+24+18+8+17+11+28+16+27+14+11+22+4</f>
        <v>1368</v>
      </c>
      <c r="H7" s="23">
        <f t="shared" si="1"/>
        <v>0.95</v>
      </c>
      <c r="I7" s="25"/>
      <c r="J7" s="5"/>
      <c r="K7" s="5"/>
      <c r="L7" s="24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</row>
    <row r="8" s="19" customFormat="1" ht="60" customHeight="1" spans="1:256">
      <c r="A8" s="10">
        <v>5</v>
      </c>
      <c r="B8" s="11" t="s">
        <v>21</v>
      </c>
      <c r="C8" s="4" t="s">
        <v>22</v>
      </c>
      <c r="D8" s="4">
        <v>360</v>
      </c>
      <c r="E8" s="4">
        <v>0</v>
      </c>
      <c r="F8" s="15">
        <f t="shared" si="0"/>
        <v>0</v>
      </c>
      <c r="G8" s="4">
        <f>2+2+2+4+2+2+3+3+4+1+4+3+18+22+16+20+6+8+16+26+9+6+4+5+8+3+6+7+4+4+6+4+3+4+2+2+2+3+10+10+3+5+14+10+11+3+6+7+7+5</f>
        <v>337</v>
      </c>
      <c r="H8" s="23">
        <f t="shared" si="1"/>
        <v>0.936111111111111</v>
      </c>
      <c r="I8" s="25"/>
      <c r="J8" s="5"/>
      <c r="K8" s="5"/>
      <c r="L8" s="24"/>
      <c r="P8" s="26"/>
      <c r="Q8" s="26"/>
      <c r="X8" s="26"/>
      <c r="Y8" s="26"/>
      <c r="AF8" s="26"/>
      <c r="AG8" s="26"/>
      <c r="AN8" s="26"/>
      <c r="AO8" s="26"/>
      <c r="AV8" s="26"/>
      <c r="AW8" s="26"/>
      <c r="BD8" s="26"/>
      <c r="BE8" s="26"/>
      <c r="BL8" s="26"/>
      <c r="BM8" s="26"/>
      <c r="BT8" s="26"/>
      <c r="BU8" s="26"/>
      <c r="CB8" s="26"/>
      <c r="CC8" s="26"/>
      <c r="CJ8" s="26"/>
      <c r="CK8" s="26"/>
      <c r="CR8" s="26"/>
      <c r="CS8" s="26"/>
      <c r="CZ8" s="26"/>
      <c r="DA8" s="26"/>
      <c r="DH8" s="26"/>
      <c r="DI8" s="26"/>
      <c r="DP8" s="26"/>
      <c r="DQ8" s="26"/>
      <c r="DX8" s="26"/>
      <c r="DY8" s="26"/>
      <c r="EF8" s="26"/>
      <c r="EG8" s="26"/>
      <c r="EN8" s="26"/>
      <c r="EO8" s="26"/>
      <c r="EV8" s="26"/>
      <c r="EW8" s="26"/>
      <c r="FD8" s="26"/>
      <c r="FE8" s="26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="18" customFormat="1" ht="60" customHeight="1" spans="1:257">
      <c r="A9" s="12"/>
      <c r="B9" s="13"/>
      <c r="C9" s="4" t="s">
        <v>23</v>
      </c>
      <c r="D9" s="4">
        <f>D8/66</f>
        <v>5.45454545454545</v>
      </c>
      <c r="E9" s="4">
        <f>E8/66</f>
        <v>0</v>
      </c>
      <c r="F9" s="15">
        <f t="shared" si="0"/>
        <v>0</v>
      </c>
      <c r="G9" s="4">
        <f>G8/66</f>
        <v>5.10606060606061</v>
      </c>
      <c r="H9" s="23">
        <f t="shared" si="1"/>
        <v>0.936111111111113</v>
      </c>
      <c r="I9" s="25"/>
      <c r="J9" s="5"/>
      <c r="K9" s="5"/>
      <c r="L9" s="24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0"/>
      <c r="IW9" s="20"/>
    </row>
    <row r="10" s="18" customFormat="1" ht="60" customHeight="1" spans="1:257">
      <c r="A10" s="10">
        <v>6</v>
      </c>
      <c r="B10" s="10" t="s">
        <v>24</v>
      </c>
      <c r="C10" s="4" t="s">
        <v>22</v>
      </c>
      <c r="D10" s="4">
        <v>360</v>
      </c>
      <c r="E10" s="4">
        <v>0</v>
      </c>
      <c r="F10" s="15">
        <f t="shared" si="0"/>
        <v>0</v>
      </c>
      <c r="G10" s="4">
        <f>2+2+1+1+1+1+3+2+4+11+8+3+6+6+7+4+8+6+4+6+6+6+14+14+11+12+4+2+13+13+12+17+10+8+14+4+2+1+3+2+8+7+5+4+6+6+9+9+8+4+6+3+6+2</f>
        <v>337</v>
      </c>
      <c r="H10" s="23">
        <f t="shared" si="1"/>
        <v>0.936111111111111</v>
      </c>
      <c r="I10" s="25"/>
      <c r="J10" s="5"/>
      <c r="K10" s="5"/>
      <c r="L10" s="24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0"/>
      <c r="IW10" s="20"/>
    </row>
    <row r="11" s="20" customFormat="1" ht="38" customHeight="1" spans="1:255">
      <c r="A11" s="12"/>
      <c r="B11" s="12"/>
      <c r="C11" s="4" t="s">
        <v>23</v>
      </c>
      <c r="D11" s="4">
        <f>D10/66</f>
        <v>5.45454545454545</v>
      </c>
      <c r="E11" s="4">
        <f>E10/66</f>
        <v>0</v>
      </c>
      <c r="F11" s="15">
        <f t="shared" si="0"/>
        <v>0</v>
      </c>
      <c r="G11" s="4">
        <f>G10/66</f>
        <v>5.10606060606061</v>
      </c>
      <c r="H11" s="23">
        <f t="shared" si="1"/>
        <v>0.936111111111113</v>
      </c>
      <c r="I11" s="25"/>
      <c r="J11" s="5"/>
      <c r="K11" s="5"/>
      <c r="L11" s="24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</row>
    <row r="12" s="20" customFormat="1" ht="60" customHeight="1" spans="1:255">
      <c r="A12" s="4">
        <v>7</v>
      </c>
      <c r="B12" s="4" t="s">
        <v>44</v>
      </c>
      <c r="C12" s="4" t="s">
        <v>26</v>
      </c>
      <c r="D12" s="4">
        <v>2</v>
      </c>
      <c r="E12" s="4">
        <v>0</v>
      </c>
      <c r="F12" s="15">
        <f t="shared" si="0"/>
        <v>0</v>
      </c>
      <c r="G12" s="4">
        <v>2</v>
      </c>
      <c r="H12" s="23">
        <f t="shared" si="1"/>
        <v>1</v>
      </c>
      <c r="I12" s="25"/>
      <c r="J12" s="5"/>
      <c r="K12" s="5"/>
      <c r="L12" s="24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</row>
    <row r="13" s="20" customFormat="1" ht="60" customHeight="1" spans="1:255">
      <c r="A13" s="4">
        <v>8</v>
      </c>
      <c r="B13" s="4" t="s">
        <v>27</v>
      </c>
      <c r="C13" s="4" t="s">
        <v>26</v>
      </c>
      <c r="D13" s="4">
        <v>22</v>
      </c>
      <c r="E13" s="4">
        <v>0</v>
      </c>
      <c r="F13" s="15">
        <f t="shared" si="0"/>
        <v>0</v>
      </c>
      <c r="G13" s="4">
        <v>22</v>
      </c>
      <c r="H13" s="23">
        <f t="shared" si="1"/>
        <v>1</v>
      </c>
      <c r="I13" s="25"/>
      <c r="J13" s="5"/>
      <c r="K13" s="5"/>
      <c r="L13" s="24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</row>
    <row r="14" s="19" customFormat="1" ht="60" customHeight="1" spans="1:256">
      <c r="A14" s="4">
        <v>9</v>
      </c>
      <c r="B14" s="6" t="s">
        <v>28</v>
      </c>
      <c r="C14" s="4" t="s">
        <v>29</v>
      </c>
      <c r="D14" s="4">
        <v>2</v>
      </c>
      <c r="E14" s="4">
        <v>0</v>
      </c>
      <c r="F14" s="15">
        <f t="shared" si="0"/>
        <v>0</v>
      </c>
      <c r="G14" s="4">
        <v>2</v>
      </c>
      <c r="H14" s="23">
        <f t="shared" si="1"/>
        <v>1</v>
      </c>
      <c r="I14" s="25"/>
      <c r="J14" s="5"/>
      <c r="K14" s="5"/>
      <c r="L14" s="24"/>
      <c r="P14" s="26"/>
      <c r="Q14" s="26"/>
      <c r="X14" s="26"/>
      <c r="Y14" s="26"/>
      <c r="AF14" s="26"/>
      <c r="AG14" s="26"/>
      <c r="AN14" s="26"/>
      <c r="AO14" s="26"/>
      <c r="AV14" s="26"/>
      <c r="AW14" s="26"/>
      <c r="BD14" s="26"/>
      <c r="BE14" s="26"/>
      <c r="BL14" s="26"/>
      <c r="BM14" s="26"/>
      <c r="BT14" s="26"/>
      <c r="BU14" s="26"/>
      <c r="CB14" s="26"/>
      <c r="CC14" s="26"/>
      <c r="CJ14" s="26"/>
      <c r="CK14" s="26"/>
      <c r="CR14" s="26"/>
      <c r="CS14" s="26"/>
      <c r="CZ14" s="26"/>
      <c r="DA14" s="26"/>
      <c r="DH14" s="26"/>
      <c r="DI14" s="26"/>
      <c r="DP14" s="26"/>
      <c r="DQ14" s="26"/>
      <c r="DX14" s="26"/>
      <c r="DY14" s="26"/>
      <c r="EF14" s="26"/>
      <c r="EG14" s="26"/>
      <c r="EN14" s="26"/>
      <c r="EO14" s="26"/>
      <c r="EV14" s="26"/>
      <c r="EW14" s="26"/>
      <c r="FD14" s="26"/>
      <c r="FE14" s="26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</row>
    <row r="15" s="19" customFormat="1" ht="60" customHeight="1" spans="1:256">
      <c r="A15" s="4">
        <v>10</v>
      </c>
      <c r="B15" s="6" t="s">
        <v>30</v>
      </c>
      <c r="C15" s="4" t="s">
        <v>29</v>
      </c>
      <c r="D15" s="4">
        <v>2</v>
      </c>
      <c r="E15" s="4">
        <v>0</v>
      </c>
      <c r="F15" s="15">
        <f t="shared" si="0"/>
        <v>0</v>
      </c>
      <c r="G15" s="4">
        <v>2</v>
      </c>
      <c r="H15" s="23">
        <f t="shared" si="1"/>
        <v>1</v>
      </c>
      <c r="I15" s="25"/>
      <c r="J15" s="5"/>
      <c r="K15" s="5"/>
      <c r="L15" s="24"/>
      <c r="P15" s="26"/>
      <c r="Q15" s="26"/>
      <c r="X15" s="26"/>
      <c r="Y15" s="26"/>
      <c r="AF15" s="26"/>
      <c r="AG15" s="26"/>
      <c r="AN15" s="26"/>
      <c r="AO15" s="26"/>
      <c r="AV15" s="26"/>
      <c r="AW15" s="26"/>
      <c r="BD15" s="26"/>
      <c r="BE15" s="26"/>
      <c r="BL15" s="26"/>
      <c r="BM15" s="26"/>
      <c r="BT15" s="26"/>
      <c r="BU15" s="26"/>
      <c r="CB15" s="26"/>
      <c r="CC15" s="26"/>
      <c r="CJ15" s="26"/>
      <c r="CK15" s="26"/>
      <c r="CR15" s="26"/>
      <c r="CS15" s="26"/>
      <c r="CZ15" s="26"/>
      <c r="DA15" s="26"/>
      <c r="DH15" s="26"/>
      <c r="DI15" s="26"/>
      <c r="DP15" s="26"/>
      <c r="DQ15" s="26"/>
      <c r="DX15" s="26"/>
      <c r="DY15" s="26"/>
      <c r="EF15" s="26"/>
      <c r="EG15" s="26"/>
      <c r="EN15" s="26"/>
      <c r="EO15" s="26"/>
      <c r="EV15" s="26"/>
      <c r="EW15" s="26"/>
      <c r="FD15" s="26"/>
      <c r="FE15" s="26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</row>
    <row r="16" s="18" customFormat="1" ht="46" customHeight="1" spans="10:257">
      <c r="J16" s="22"/>
      <c r="K16" s="22"/>
      <c r="L16" s="26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0"/>
      <c r="IW16" s="20"/>
    </row>
    <row r="17" s="20" customFormat="1" ht="42" customHeight="1" spans="1:255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2"/>
      <c r="L17" s="26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="20" customFormat="1" ht="42" customHeight="1" spans="1:255">
      <c r="A18" s="18"/>
      <c r="B18" s="18"/>
      <c r="C18" s="18"/>
      <c r="D18" s="18"/>
      <c r="E18" s="18"/>
      <c r="F18" s="18"/>
      <c r="G18" s="18"/>
      <c r="H18" s="18"/>
      <c r="I18" s="18"/>
      <c r="J18" s="22"/>
      <c r="K18" s="22"/>
      <c r="L18" s="26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</row>
    <row r="19" s="19" customFormat="1" ht="45.95" customHeight="1" spans="1:256">
      <c r="A19" s="18"/>
      <c r="C19" s="18"/>
      <c r="D19" s="18"/>
      <c r="E19" s="18"/>
      <c r="F19" s="18"/>
      <c r="G19" s="18"/>
      <c r="H19" s="18"/>
      <c r="I19" s="18"/>
      <c r="J19" s="22"/>
      <c r="K19" s="22"/>
      <c r="L19" s="26"/>
      <c r="P19" s="26"/>
      <c r="Q19" s="26"/>
      <c r="X19" s="26"/>
      <c r="Y19" s="26"/>
      <c r="AF19" s="26"/>
      <c r="AG19" s="26"/>
      <c r="AN19" s="26"/>
      <c r="AO19" s="26"/>
      <c r="AV19" s="26"/>
      <c r="AW19" s="26"/>
      <c r="BD19" s="26"/>
      <c r="BE19" s="26"/>
      <c r="BL19" s="26"/>
      <c r="BM19" s="26"/>
      <c r="BT19" s="26"/>
      <c r="BU19" s="26"/>
      <c r="CB19" s="26"/>
      <c r="CC19" s="26"/>
      <c r="CJ19" s="26"/>
      <c r="CK19" s="26"/>
      <c r="CR19" s="26"/>
      <c r="CS19" s="26"/>
      <c r="CZ19" s="26"/>
      <c r="DA19" s="26"/>
      <c r="DH19" s="26"/>
      <c r="DI19" s="26"/>
      <c r="DP19" s="26"/>
      <c r="DQ19" s="26"/>
      <c r="DX19" s="26"/>
      <c r="DY19" s="26"/>
      <c r="EF19" s="26"/>
      <c r="EG19" s="26"/>
      <c r="EN19" s="26"/>
      <c r="EO19" s="26"/>
      <c r="EV19" s="26"/>
      <c r="EW19" s="26"/>
      <c r="FD19" s="26"/>
      <c r="FE19" s="26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</row>
    <row r="20" s="18" customFormat="1" ht="46" customHeight="1" spans="1:257">
      <c r="A20" s="22"/>
      <c r="J20" s="22"/>
      <c r="K20" s="22"/>
      <c r="L20" s="26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0"/>
      <c r="IW20" s="20"/>
    </row>
    <row r="21" s="20" customFormat="1" ht="42" customHeight="1" spans="1:255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2"/>
      <c r="L21" s="26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</row>
    <row r="22" s="20" customFormat="1" ht="42" customHeight="1" spans="1:255">
      <c r="A22" s="18"/>
      <c r="B22" s="18"/>
      <c r="C22" s="18"/>
      <c r="D22" s="18"/>
      <c r="E22" s="18"/>
      <c r="F22" s="18"/>
      <c r="G22" s="18"/>
      <c r="H22" s="18"/>
      <c r="I22" s="18"/>
      <c r="J22" s="22"/>
      <c r="K22" s="22"/>
      <c r="L22" s="26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</row>
    <row r="23" s="19" customFormat="1" ht="45.95" customHeight="1" spans="1:256">
      <c r="A23" s="18"/>
      <c r="C23" s="18"/>
      <c r="D23" s="18"/>
      <c r="E23" s="18"/>
      <c r="F23" s="18"/>
      <c r="G23" s="18"/>
      <c r="H23" s="18"/>
      <c r="I23" s="18"/>
      <c r="J23" s="22"/>
      <c r="K23" s="22"/>
      <c r="L23" s="26"/>
      <c r="P23" s="26"/>
      <c r="Q23" s="26"/>
      <c r="X23" s="26"/>
      <c r="Y23" s="26"/>
      <c r="AF23" s="26"/>
      <c r="AG23" s="26"/>
      <c r="AN23" s="26"/>
      <c r="AO23" s="26"/>
      <c r="AV23" s="26"/>
      <c r="AW23" s="26"/>
      <c r="BD23" s="26"/>
      <c r="BE23" s="26"/>
      <c r="BL23" s="26"/>
      <c r="BM23" s="26"/>
      <c r="BT23" s="26"/>
      <c r="BU23" s="26"/>
      <c r="CB23" s="26"/>
      <c r="CC23" s="26"/>
      <c r="CJ23" s="26"/>
      <c r="CK23" s="26"/>
      <c r="CR23" s="26"/>
      <c r="CS23" s="26"/>
      <c r="CZ23" s="26"/>
      <c r="DA23" s="26"/>
      <c r="DH23" s="26"/>
      <c r="DI23" s="26"/>
      <c r="DP23" s="26"/>
      <c r="DQ23" s="26"/>
      <c r="DX23" s="26"/>
      <c r="DY23" s="26"/>
      <c r="EF23" s="26"/>
      <c r="EG23" s="26"/>
      <c r="EN23" s="26"/>
      <c r="EO23" s="26"/>
      <c r="EV23" s="26"/>
      <c r="EW23" s="26"/>
      <c r="FD23" s="26"/>
      <c r="FE23" s="26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</row>
    <row r="24" s="18" customFormat="1" ht="46" customHeight="1" spans="1:257">
      <c r="A24" s="22"/>
      <c r="J24" s="22"/>
      <c r="K24" s="22"/>
      <c r="L24" s="26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0"/>
      <c r="IW24" s="20"/>
    </row>
    <row r="25" s="20" customFormat="1" ht="42" customHeight="1" spans="1:255">
      <c r="A25" s="18"/>
      <c r="B25" s="18"/>
      <c r="C25" s="18"/>
      <c r="D25" s="18"/>
      <c r="E25" s="18"/>
      <c r="F25" s="18"/>
      <c r="G25" s="18"/>
      <c r="H25" s="18"/>
      <c r="I25" s="18"/>
      <c r="J25" s="22"/>
      <c r="K25" s="22"/>
      <c r="L25" s="26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</row>
    <row r="26" s="20" customFormat="1" ht="42" customHeight="1" spans="1:255">
      <c r="A26" s="18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6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</row>
  </sheetData>
  <mergeCells count="22">
    <mergeCell ref="A1:L1"/>
    <mergeCell ref="A2:L2"/>
    <mergeCell ref="I3:K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{aedf75df-d994-4a3a-a5af-8a69fa2c0617}</x14:id>
        </ext>
      </extLst>
    </cfRule>
    <cfRule type="dataBar" priority="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{dba84eac-f346-47d3-ae3a-cdfc8f6b46bd}</x14:id>
        </ext>
      </extLst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">
    <cfRule type="dataBar" priority="4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{2e0ab681-fdc5-4ade-a03d-fdd55598cc10}</x14:id>
        </ext>
      </extLst>
    </cfRule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{27ccbfeb-6ccf-4892-9d8c-a8eedc582613}</x14:id>
        </ext>
      </extLst>
    </cfRule>
  </conditionalFormatting>
  <conditionalFormatting sqref="J23"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{c3c89d79-9411-47e0-b0fb-f35a3de0092e}</x14:id>
        </ext>
      </extLst>
    </cfRule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{af0e86bd-b672-4e73-8811-65f01772ed04}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edf75df-d994-4a3a-a5af-8a69fa2c0617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dba84eac-f346-47d3-ae3a-cdfc8f6b46bd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2e0ab681-fdc5-4ade-a03d-fdd55598cc10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27ccbfeb-6ccf-4892-9d8c-a8eedc582613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J19</xm:sqref>
        </x14:conditionalFormatting>
        <x14:conditionalFormatting xmlns:xm="http://schemas.microsoft.com/office/excel/2006/main">
          <x14:cfRule type="dataBar" id="{c3c89d79-9411-47e0-b0fb-f35a3de0092e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af0e86bd-b672-4e73-8811-65f01772ed04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J23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26"/>
  <sheetViews>
    <sheetView zoomScale="70" zoomScaleNormal="70" topLeftCell="A3" workbookViewId="0">
      <selection activeCell="E13" sqref="E13"/>
    </sheetView>
  </sheetViews>
  <sheetFormatPr defaultColWidth="76" defaultRowHeight="15.6"/>
  <cols>
    <col min="1" max="1" width="27.1166666666667" style="21" customWidth="1"/>
    <col min="2" max="2" width="48.175" style="21" customWidth="1"/>
    <col min="3" max="3" width="8.15" style="21" customWidth="1"/>
    <col min="4" max="4" width="9.93333333333333" style="21" customWidth="1"/>
    <col min="5" max="5" width="9.775" style="21" customWidth="1"/>
    <col min="6" max="8" width="14.0833333333333" style="21" customWidth="1"/>
    <col min="9" max="11" width="25.5833333333333" style="21" customWidth="1"/>
    <col min="12" max="12" width="48.4833333333333" style="21" customWidth="1"/>
    <col min="13" max="255" width="76.9" style="21"/>
    <col min="256" max="16383" width="76.9" style="20"/>
    <col min="16384" max="16384" width="76" style="20"/>
  </cols>
  <sheetData>
    <row r="1" s="17" customFormat="1" ht="82" customHeight="1" spans="1:257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0"/>
      <c r="IW1" s="20"/>
    </row>
    <row r="2" s="36" customFormat="1" ht="45" customHeight="1" spans="1:257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  <c r="HU2" s="39"/>
      <c r="HV2" s="39"/>
      <c r="HW2" s="39"/>
      <c r="HX2" s="39"/>
      <c r="HY2" s="39"/>
      <c r="HZ2" s="39"/>
      <c r="IA2" s="39"/>
      <c r="IB2" s="39"/>
      <c r="IC2" s="39"/>
      <c r="ID2" s="39"/>
      <c r="IE2" s="39"/>
      <c r="IF2" s="39"/>
      <c r="IG2" s="39"/>
      <c r="IH2" s="39"/>
      <c r="II2" s="39"/>
      <c r="IJ2" s="39"/>
      <c r="IK2" s="39"/>
      <c r="IL2" s="39"/>
      <c r="IM2" s="39"/>
      <c r="IN2" s="39"/>
      <c r="IO2" s="39"/>
      <c r="IP2" s="39"/>
      <c r="IQ2" s="39"/>
      <c r="IR2" s="39"/>
      <c r="IS2" s="39"/>
      <c r="IT2" s="39"/>
      <c r="IU2" s="39"/>
      <c r="IV2" s="41"/>
      <c r="IW2" s="41"/>
    </row>
    <row r="3" s="18" customFormat="1" ht="60" customHeight="1" spans="1:257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0"/>
      <c r="IW3" s="20"/>
    </row>
    <row r="4" s="37" customFormat="1" ht="60" customHeight="1" spans="1:256">
      <c r="A4" s="4">
        <v>1</v>
      </c>
      <c r="B4" s="6" t="s">
        <v>13</v>
      </c>
      <c r="C4" s="4" t="s">
        <v>14</v>
      </c>
      <c r="D4" s="4">
        <v>432</v>
      </c>
      <c r="E4" s="4">
        <v>0</v>
      </c>
      <c r="F4" s="15">
        <f t="shared" ref="F4:F15" si="0">E4/D4</f>
        <v>0</v>
      </c>
      <c r="G4" s="4">
        <f>100+10+20+20+20+20+20+20+20+20+20</f>
        <v>290</v>
      </c>
      <c r="H4" s="23">
        <f t="shared" ref="H4:H15" si="1">G4/D4</f>
        <v>0.671296296296296</v>
      </c>
      <c r="I4" s="23" t="s">
        <v>37</v>
      </c>
      <c r="J4" s="5" t="s">
        <v>38</v>
      </c>
      <c r="K4" s="5" t="s">
        <v>39</v>
      </c>
      <c r="L4" s="24" t="s">
        <v>52</v>
      </c>
      <c r="P4" s="38"/>
      <c r="Q4" s="38"/>
      <c r="X4" s="38"/>
      <c r="Y4" s="38"/>
      <c r="AF4" s="38"/>
      <c r="AG4" s="38"/>
      <c r="AN4" s="38"/>
      <c r="AO4" s="38"/>
      <c r="AV4" s="38"/>
      <c r="AW4" s="38"/>
      <c r="BD4" s="38"/>
      <c r="BE4" s="38"/>
      <c r="BL4" s="38"/>
      <c r="BM4" s="38"/>
      <c r="BT4" s="38"/>
      <c r="BU4" s="38"/>
      <c r="CB4" s="38"/>
      <c r="CC4" s="38"/>
      <c r="CJ4" s="38"/>
      <c r="CK4" s="38"/>
      <c r="CR4" s="38"/>
      <c r="CS4" s="38"/>
      <c r="CZ4" s="38"/>
      <c r="DA4" s="38"/>
      <c r="DH4" s="38"/>
      <c r="DI4" s="38"/>
      <c r="DP4" s="38"/>
      <c r="DQ4" s="38"/>
      <c r="DX4" s="38"/>
      <c r="DY4" s="38"/>
      <c r="EF4" s="38"/>
      <c r="EG4" s="38"/>
      <c r="EN4" s="38"/>
      <c r="EO4" s="38"/>
      <c r="EV4" s="38"/>
      <c r="EW4" s="38"/>
      <c r="FD4" s="38"/>
      <c r="FE4" s="38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  <c r="IU4" s="40"/>
      <c r="IV4" s="40"/>
    </row>
    <row r="5" s="18" customFormat="1" ht="60" customHeight="1" spans="1:257">
      <c r="A5" s="5">
        <v>2</v>
      </c>
      <c r="B5" s="4" t="s">
        <v>16</v>
      </c>
      <c r="C5" s="4" t="s">
        <v>17</v>
      </c>
      <c r="D5" s="4">
        <v>1728</v>
      </c>
      <c r="E5" s="4">
        <v>0</v>
      </c>
      <c r="F5" s="15">
        <f t="shared" si="0"/>
        <v>0</v>
      </c>
      <c r="G5" s="4">
        <f>108+122+112+116+96+88+141+67+95+32+70+94+124+112+36+50</f>
        <v>1463</v>
      </c>
      <c r="H5" s="23">
        <f t="shared" si="1"/>
        <v>0.846643518518518</v>
      </c>
      <c r="I5" s="25" t="s">
        <v>42</v>
      </c>
      <c r="J5" s="5" t="s">
        <v>42</v>
      </c>
      <c r="K5" s="5" t="s">
        <v>42</v>
      </c>
      <c r="L5" s="24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0"/>
      <c r="IW5" s="20"/>
    </row>
    <row r="6" s="20" customFormat="1" ht="60" customHeight="1" spans="1:255">
      <c r="A6" s="4">
        <v>3</v>
      </c>
      <c r="B6" s="4" t="s">
        <v>18</v>
      </c>
      <c r="C6" s="4" t="s">
        <v>19</v>
      </c>
      <c r="D6" s="4">
        <v>1728</v>
      </c>
      <c r="E6" s="4">
        <v>0</v>
      </c>
      <c r="F6" s="15">
        <f t="shared" si="0"/>
        <v>0</v>
      </c>
      <c r="G6" s="4">
        <f>200+200+200+100+100+100+532</f>
        <v>1432</v>
      </c>
      <c r="H6" s="23">
        <f t="shared" si="1"/>
        <v>0.828703703703704</v>
      </c>
      <c r="I6" s="25"/>
      <c r="J6" s="5"/>
      <c r="K6" s="5"/>
      <c r="L6" s="24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</row>
    <row r="7" s="20" customFormat="1" ht="60" customHeight="1" spans="1:255">
      <c r="A7" s="4">
        <v>4</v>
      </c>
      <c r="B7" s="4" t="s">
        <v>20</v>
      </c>
      <c r="C7" s="4" t="s">
        <v>19</v>
      </c>
      <c r="D7" s="4">
        <v>1728</v>
      </c>
      <c r="E7" s="4">
        <v>0</v>
      </c>
      <c r="F7" s="15">
        <f t="shared" si="0"/>
        <v>0</v>
      </c>
      <c r="G7" s="4">
        <f>12+28+28+56+56+24+24+68+84+110+104+98+84+48+68+36+36+32+72+72+76+24+96+96</f>
        <v>1432</v>
      </c>
      <c r="H7" s="23">
        <f t="shared" si="1"/>
        <v>0.828703703703704</v>
      </c>
      <c r="I7" s="25"/>
      <c r="J7" s="5"/>
      <c r="K7" s="5"/>
      <c r="L7" s="24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</row>
    <row r="8" s="37" customFormat="1" ht="60" customHeight="1" spans="1:256">
      <c r="A8" s="10">
        <v>5</v>
      </c>
      <c r="B8" s="11" t="s">
        <v>21</v>
      </c>
      <c r="C8" s="4" t="s">
        <v>22</v>
      </c>
      <c r="D8" s="4">
        <v>432</v>
      </c>
      <c r="E8" s="4">
        <v>0</v>
      </c>
      <c r="F8" s="15">
        <f t="shared" si="0"/>
        <v>0</v>
      </c>
      <c r="G8" s="4">
        <f>10+8+7+4+3+6+5+5+7+8+9+4+9+29+21+15+10+8+24+21+6+6+11+6+16+13+5+6+4+21+10+3+24+7</f>
        <v>351</v>
      </c>
      <c r="H8" s="23">
        <f t="shared" si="1"/>
        <v>0.8125</v>
      </c>
      <c r="I8" s="25"/>
      <c r="J8" s="5"/>
      <c r="K8" s="5"/>
      <c r="L8" s="24"/>
      <c r="P8" s="38"/>
      <c r="Q8" s="38"/>
      <c r="X8" s="38"/>
      <c r="Y8" s="38"/>
      <c r="AF8" s="38"/>
      <c r="AG8" s="38"/>
      <c r="AN8" s="38"/>
      <c r="AO8" s="38"/>
      <c r="AV8" s="38"/>
      <c r="AW8" s="38"/>
      <c r="BD8" s="38"/>
      <c r="BE8" s="38"/>
      <c r="BL8" s="38"/>
      <c r="BM8" s="38"/>
      <c r="BT8" s="38"/>
      <c r="BU8" s="38"/>
      <c r="CB8" s="38"/>
      <c r="CC8" s="38"/>
      <c r="CJ8" s="38"/>
      <c r="CK8" s="38"/>
      <c r="CR8" s="38"/>
      <c r="CS8" s="38"/>
      <c r="CZ8" s="38"/>
      <c r="DA8" s="38"/>
      <c r="DH8" s="38"/>
      <c r="DI8" s="38"/>
      <c r="DP8" s="38"/>
      <c r="DQ8" s="38"/>
      <c r="DX8" s="38"/>
      <c r="DY8" s="38"/>
      <c r="EF8" s="38"/>
      <c r="EG8" s="38"/>
      <c r="EN8" s="38"/>
      <c r="EO8" s="38"/>
      <c r="EV8" s="38"/>
      <c r="EW8" s="38"/>
      <c r="FD8" s="38"/>
      <c r="FE8" s="38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  <c r="IU8" s="40"/>
      <c r="IV8" s="40"/>
    </row>
    <row r="9" s="18" customFormat="1" ht="60" customHeight="1" spans="1:257">
      <c r="A9" s="12"/>
      <c r="B9" s="13"/>
      <c r="C9" s="4" t="s">
        <v>23</v>
      </c>
      <c r="D9" s="4">
        <f>D8/66</f>
        <v>6.54545454545455</v>
      </c>
      <c r="E9" s="4">
        <f>E8/66</f>
        <v>0</v>
      </c>
      <c r="F9" s="15">
        <f t="shared" si="0"/>
        <v>0</v>
      </c>
      <c r="G9" s="4">
        <f>G8/66</f>
        <v>5.31818181818182</v>
      </c>
      <c r="H9" s="23">
        <f t="shared" si="1"/>
        <v>0.8125</v>
      </c>
      <c r="I9" s="25"/>
      <c r="J9" s="5"/>
      <c r="K9" s="5"/>
      <c r="L9" s="24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0"/>
      <c r="IW9" s="20"/>
    </row>
    <row r="10" s="18" customFormat="1" ht="60" customHeight="1" spans="1:257">
      <c r="A10" s="10">
        <v>6</v>
      </c>
      <c r="B10" s="10" t="s">
        <v>24</v>
      </c>
      <c r="C10" s="4" t="s">
        <v>22</v>
      </c>
      <c r="D10" s="4">
        <v>432</v>
      </c>
      <c r="E10" s="4">
        <v>0</v>
      </c>
      <c r="F10" s="15">
        <f t="shared" si="0"/>
        <v>0</v>
      </c>
      <c r="G10" s="4">
        <f>3+3+1+2+2+3+3+2+2+2+2+4+4+5+6+2+4+10+14+14+18+15+15+18+20+19+16+10+18+9+14+11+10+21+15+13+14+7</f>
        <v>351</v>
      </c>
      <c r="H10" s="23">
        <f t="shared" si="1"/>
        <v>0.8125</v>
      </c>
      <c r="I10" s="25"/>
      <c r="J10" s="5"/>
      <c r="K10" s="5"/>
      <c r="L10" s="24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0"/>
      <c r="IW10" s="20"/>
    </row>
    <row r="11" s="20" customFormat="1" ht="60" customHeight="1" spans="1:255">
      <c r="A11" s="12"/>
      <c r="B11" s="12"/>
      <c r="C11" s="4" t="s">
        <v>23</v>
      </c>
      <c r="D11" s="4">
        <f>D10/66</f>
        <v>6.54545454545455</v>
      </c>
      <c r="E11" s="4">
        <f>E10/66</f>
        <v>0</v>
      </c>
      <c r="F11" s="15">
        <f t="shared" si="0"/>
        <v>0</v>
      </c>
      <c r="G11" s="4">
        <f>G10/66</f>
        <v>5.31818181818182</v>
      </c>
      <c r="H11" s="23">
        <f t="shared" si="1"/>
        <v>0.8125</v>
      </c>
      <c r="I11" s="25"/>
      <c r="J11" s="5"/>
      <c r="K11" s="5"/>
      <c r="L11" s="24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</row>
    <row r="12" s="20" customFormat="1" ht="60" customHeight="1" spans="1:255">
      <c r="A12" s="4">
        <v>7</v>
      </c>
      <c r="B12" s="4" t="s">
        <v>44</v>
      </c>
      <c r="C12" s="4" t="s">
        <v>26</v>
      </c>
      <c r="D12" s="4">
        <v>2</v>
      </c>
      <c r="E12" s="4">
        <v>0</v>
      </c>
      <c r="F12" s="15">
        <f t="shared" si="0"/>
        <v>0</v>
      </c>
      <c r="G12" s="4">
        <v>2</v>
      </c>
      <c r="H12" s="23">
        <f t="shared" si="1"/>
        <v>1</v>
      </c>
      <c r="I12" s="25"/>
      <c r="J12" s="5"/>
      <c r="K12" s="5"/>
      <c r="L12" s="24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</row>
    <row r="13" s="20" customFormat="1" ht="60" customHeight="1" spans="1:255">
      <c r="A13" s="4">
        <v>8</v>
      </c>
      <c r="B13" s="4" t="s">
        <v>27</v>
      </c>
      <c r="C13" s="4" t="s">
        <v>26</v>
      </c>
      <c r="D13" s="4">
        <v>28</v>
      </c>
      <c r="E13" s="4">
        <v>0</v>
      </c>
      <c r="F13" s="15">
        <f t="shared" si="0"/>
        <v>0</v>
      </c>
      <c r="G13" s="4">
        <v>23</v>
      </c>
      <c r="H13" s="23">
        <f t="shared" si="1"/>
        <v>0.821428571428571</v>
      </c>
      <c r="I13" s="25"/>
      <c r="J13" s="5"/>
      <c r="K13" s="5"/>
      <c r="L13" s="24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</row>
    <row r="14" s="37" customFormat="1" ht="60" customHeight="1" spans="1:256">
      <c r="A14" s="4">
        <v>9</v>
      </c>
      <c r="B14" s="6" t="s">
        <v>28</v>
      </c>
      <c r="C14" s="4" t="s">
        <v>29</v>
      </c>
      <c r="D14" s="4">
        <v>2</v>
      </c>
      <c r="E14" s="4">
        <v>0</v>
      </c>
      <c r="F14" s="15">
        <f t="shared" si="0"/>
        <v>0</v>
      </c>
      <c r="G14" s="4">
        <v>1.9</v>
      </c>
      <c r="H14" s="23">
        <f t="shared" si="1"/>
        <v>0.95</v>
      </c>
      <c r="I14" s="25"/>
      <c r="J14" s="5"/>
      <c r="K14" s="5"/>
      <c r="L14" s="24"/>
      <c r="P14" s="38"/>
      <c r="Q14" s="38"/>
      <c r="X14" s="38"/>
      <c r="Y14" s="38"/>
      <c r="AF14" s="38"/>
      <c r="AG14" s="38"/>
      <c r="AN14" s="38"/>
      <c r="AO14" s="38"/>
      <c r="AV14" s="38"/>
      <c r="AW14" s="38"/>
      <c r="BD14" s="38"/>
      <c r="BE14" s="38"/>
      <c r="BL14" s="38"/>
      <c r="BM14" s="38"/>
      <c r="BT14" s="38"/>
      <c r="BU14" s="38"/>
      <c r="CB14" s="38"/>
      <c r="CC14" s="38"/>
      <c r="CJ14" s="38"/>
      <c r="CK14" s="38"/>
      <c r="CR14" s="38"/>
      <c r="CS14" s="38"/>
      <c r="CZ14" s="38"/>
      <c r="DA14" s="38"/>
      <c r="DH14" s="38"/>
      <c r="DI14" s="38"/>
      <c r="DP14" s="38"/>
      <c r="DQ14" s="38"/>
      <c r="DX14" s="38"/>
      <c r="DY14" s="38"/>
      <c r="EF14" s="38"/>
      <c r="EG14" s="38"/>
      <c r="EN14" s="38"/>
      <c r="EO14" s="38"/>
      <c r="EV14" s="38"/>
      <c r="EW14" s="38"/>
      <c r="FD14" s="38"/>
      <c r="FE14" s="38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  <c r="IU14" s="40"/>
      <c r="IV14" s="40"/>
    </row>
    <row r="15" s="37" customFormat="1" ht="60" customHeight="1" spans="1:256">
      <c r="A15" s="4">
        <v>10</v>
      </c>
      <c r="B15" s="6" t="s">
        <v>30</v>
      </c>
      <c r="C15" s="4" t="s">
        <v>29</v>
      </c>
      <c r="D15" s="4">
        <v>2</v>
      </c>
      <c r="E15" s="4">
        <v>0</v>
      </c>
      <c r="F15" s="15">
        <f t="shared" si="0"/>
        <v>0</v>
      </c>
      <c r="G15" s="4">
        <v>2</v>
      </c>
      <c r="H15" s="23">
        <f t="shared" si="1"/>
        <v>1</v>
      </c>
      <c r="I15" s="25"/>
      <c r="J15" s="5"/>
      <c r="K15" s="5"/>
      <c r="L15" s="24"/>
      <c r="P15" s="38"/>
      <c r="Q15" s="38"/>
      <c r="X15" s="38"/>
      <c r="Y15" s="38"/>
      <c r="AF15" s="38"/>
      <c r="AG15" s="38"/>
      <c r="AN15" s="38"/>
      <c r="AO15" s="38"/>
      <c r="AV15" s="38"/>
      <c r="AW15" s="38"/>
      <c r="BD15" s="38"/>
      <c r="BE15" s="38"/>
      <c r="BL15" s="38"/>
      <c r="BM15" s="38"/>
      <c r="BT15" s="38"/>
      <c r="BU15" s="38"/>
      <c r="CB15" s="38"/>
      <c r="CC15" s="38"/>
      <c r="CJ15" s="38"/>
      <c r="CK15" s="38"/>
      <c r="CR15" s="38"/>
      <c r="CS15" s="38"/>
      <c r="CZ15" s="38"/>
      <c r="DA15" s="38"/>
      <c r="DH15" s="38"/>
      <c r="DI15" s="38"/>
      <c r="DP15" s="38"/>
      <c r="DQ15" s="38"/>
      <c r="DX15" s="38"/>
      <c r="DY15" s="38"/>
      <c r="EF15" s="38"/>
      <c r="EG15" s="38"/>
      <c r="EN15" s="38"/>
      <c r="EO15" s="38"/>
      <c r="EV15" s="38"/>
      <c r="EW15" s="38"/>
      <c r="FD15" s="38"/>
      <c r="FE15" s="38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  <c r="IL15" s="40"/>
      <c r="IM15" s="40"/>
      <c r="IN15" s="40"/>
      <c r="IO15" s="40"/>
      <c r="IP15" s="40"/>
      <c r="IQ15" s="40"/>
      <c r="IR15" s="40"/>
      <c r="IS15" s="40"/>
      <c r="IT15" s="40"/>
      <c r="IU15" s="40"/>
      <c r="IV15" s="40"/>
    </row>
    <row r="16" s="18" customFormat="1" ht="46" customHeight="1" spans="10:257">
      <c r="J16" s="22"/>
      <c r="K16" s="22"/>
      <c r="L16" s="26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0"/>
      <c r="IW16" s="20"/>
    </row>
    <row r="17" s="20" customFormat="1" ht="42" customHeight="1" spans="1:255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2"/>
      <c r="L17" s="26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="20" customFormat="1" ht="42" customHeight="1" spans="1:255">
      <c r="A18" s="18"/>
      <c r="B18" s="18"/>
      <c r="C18" s="18"/>
      <c r="D18" s="18"/>
      <c r="E18" s="18"/>
      <c r="F18" s="18"/>
      <c r="G18" s="18"/>
      <c r="H18" s="18"/>
      <c r="I18" s="18"/>
      <c r="J18" s="22"/>
      <c r="K18" s="22"/>
      <c r="L18" s="26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</row>
    <row r="19" s="37" customFormat="1" ht="45.95" customHeight="1" spans="1:256">
      <c r="A19" s="18"/>
      <c r="B19" s="19"/>
      <c r="C19" s="18"/>
      <c r="D19" s="18"/>
      <c r="E19" s="18"/>
      <c r="F19" s="18"/>
      <c r="G19" s="18"/>
      <c r="H19" s="18"/>
      <c r="I19" s="18"/>
      <c r="J19" s="22"/>
      <c r="K19" s="22"/>
      <c r="L19" s="26"/>
      <c r="P19" s="38"/>
      <c r="Q19" s="38"/>
      <c r="X19" s="38"/>
      <c r="Y19" s="38"/>
      <c r="AF19" s="38"/>
      <c r="AG19" s="38"/>
      <c r="AN19" s="38"/>
      <c r="AO19" s="38"/>
      <c r="AV19" s="38"/>
      <c r="AW19" s="38"/>
      <c r="BD19" s="38"/>
      <c r="BE19" s="38"/>
      <c r="BL19" s="38"/>
      <c r="BM19" s="38"/>
      <c r="BT19" s="38"/>
      <c r="BU19" s="38"/>
      <c r="CB19" s="38"/>
      <c r="CC19" s="38"/>
      <c r="CJ19" s="38"/>
      <c r="CK19" s="38"/>
      <c r="CR19" s="38"/>
      <c r="CS19" s="38"/>
      <c r="CZ19" s="38"/>
      <c r="DA19" s="38"/>
      <c r="DH19" s="38"/>
      <c r="DI19" s="38"/>
      <c r="DP19" s="38"/>
      <c r="DQ19" s="38"/>
      <c r="DX19" s="38"/>
      <c r="DY19" s="38"/>
      <c r="EF19" s="38"/>
      <c r="EG19" s="38"/>
      <c r="EN19" s="38"/>
      <c r="EO19" s="38"/>
      <c r="EV19" s="38"/>
      <c r="EW19" s="38"/>
      <c r="FD19" s="38"/>
      <c r="FE19" s="38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  <c r="HB19" s="40"/>
      <c r="HC19" s="40"/>
      <c r="HD19" s="40"/>
      <c r="HE19" s="40"/>
      <c r="HF19" s="40"/>
      <c r="HG19" s="40"/>
      <c r="HH19" s="40"/>
      <c r="HI19" s="40"/>
      <c r="HJ19" s="40"/>
      <c r="HK19" s="40"/>
      <c r="HL19" s="40"/>
      <c r="HM19" s="40"/>
      <c r="HN19" s="40"/>
      <c r="HO19" s="40"/>
      <c r="HP19" s="40"/>
      <c r="HQ19" s="40"/>
      <c r="HR19" s="40"/>
      <c r="HS19" s="40"/>
      <c r="HT19" s="40"/>
      <c r="HU19" s="40"/>
      <c r="HV19" s="40"/>
      <c r="HW19" s="40"/>
      <c r="HX19" s="40"/>
      <c r="HY19" s="40"/>
      <c r="HZ19" s="40"/>
      <c r="IA19" s="40"/>
      <c r="IB19" s="40"/>
      <c r="IC19" s="40"/>
      <c r="ID19" s="40"/>
      <c r="IE19" s="40"/>
      <c r="IF19" s="40"/>
      <c r="IG19" s="40"/>
      <c r="IH19" s="40"/>
      <c r="II19" s="40"/>
      <c r="IJ19" s="40"/>
      <c r="IK19" s="40"/>
      <c r="IL19" s="40"/>
      <c r="IM19" s="40"/>
      <c r="IN19" s="40"/>
      <c r="IO19" s="40"/>
      <c r="IP19" s="40"/>
      <c r="IQ19" s="40"/>
      <c r="IR19" s="40"/>
      <c r="IS19" s="40"/>
      <c r="IT19" s="40"/>
      <c r="IU19" s="40"/>
      <c r="IV19" s="40"/>
    </row>
    <row r="20" s="18" customFormat="1" ht="46" customHeight="1" spans="1:257">
      <c r="A20" s="22"/>
      <c r="J20" s="22"/>
      <c r="K20" s="22"/>
      <c r="L20" s="26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0"/>
      <c r="IW20" s="20"/>
    </row>
    <row r="21" s="20" customFormat="1" ht="42" customHeight="1" spans="1:255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2"/>
      <c r="L21" s="26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</row>
    <row r="22" s="20" customFormat="1" ht="42" customHeight="1" spans="1:255">
      <c r="A22" s="18"/>
      <c r="B22" s="18"/>
      <c r="C22" s="18"/>
      <c r="D22" s="18"/>
      <c r="E22" s="18"/>
      <c r="F22" s="18"/>
      <c r="G22" s="18"/>
      <c r="H22" s="18"/>
      <c r="I22" s="18"/>
      <c r="J22" s="22"/>
      <c r="K22" s="22"/>
      <c r="L22" s="26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</row>
    <row r="23" s="37" customFormat="1" ht="45.95" customHeight="1" spans="1:256">
      <c r="A23" s="18"/>
      <c r="B23" s="19"/>
      <c r="C23" s="18"/>
      <c r="D23" s="18"/>
      <c r="E23" s="18"/>
      <c r="F23" s="18"/>
      <c r="G23" s="18"/>
      <c r="H23" s="18"/>
      <c r="I23" s="18"/>
      <c r="J23" s="22"/>
      <c r="K23" s="22"/>
      <c r="L23" s="26"/>
      <c r="P23" s="38"/>
      <c r="Q23" s="38"/>
      <c r="X23" s="38"/>
      <c r="Y23" s="38"/>
      <c r="AF23" s="38"/>
      <c r="AG23" s="38"/>
      <c r="AN23" s="38"/>
      <c r="AO23" s="38"/>
      <c r="AV23" s="38"/>
      <c r="AW23" s="38"/>
      <c r="BD23" s="38"/>
      <c r="BE23" s="38"/>
      <c r="BL23" s="38"/>
      <c r="BM23" s="38"/>
      <c r="BT23" s="38"/>
      <c r="BU23" s="38"/>
      <c r="CB23" s="38"/>
      <c r="CC23" s="38"/>
      <c r="CJ23" s="38"/>
      <c r="CK23" s="38"/>
      <c r="CR23" s="38"/>
      <c r="CS23" s="38"/>
      <c r="CZ23" s="38"/>
      <c r="DA23" s="38"/>
      <c r="DH23" s="38"/>
      <c r="DI23" s="38"/>
      <c r="DP23" s="38"/>
      <c r="DQ23" s="38"/>
      <c r="DX23" s="38"/>
      <c r="DY23" s="38"/>
      <c r="EF23" s="38"/>
      <c r="EG23" s="38"/>
      <c r="EN23" s="38"/>
      <c r="EO23" s="38"/>
      <c r="EV23" s="38"/>
      <c r="EW23" s="38"/>
      <c r="FD23" s="38"/>
      <c r="FE23" s="38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</row>
    <row r="24" s="18" customFormat="1" ht="46" customHeight="1" spans="1:257">
      <c r="A24" s="22"/>
      <c r="J24" s="22"/>
      <c r="K24" s="22"/>
      <c r="L24" s="26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0"/>
      <c r="IW24" s="20"/>
    </row>
    <row r="25" s="20" customFormat="1" ht="42" customHeight="1" spans="1:255">
      <c r="A25" s="18"/>
      <c r="B25" s="18"/>
      <c r="C25" s="18"/>
      <c r="D25" s="18"/>
      <c r="E25" s="18"/>
      <c r="F25" s="18"/>
      <c r="G25" s="18"/>
      <c r="H25" s="18"/>
      <c r="I25" s="18"/>
      <c r="J25" s="22"/>
      <c r="K25" s="22"/>
      <c r="L25" s="26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</row>
    <row r="26" s="20" customFormat="1" ht="42" customHeight="1" spans="1:255">
      <c r="A26" s="18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6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</row>
  </sheetData>
  <mergeCells count="22">
    <mergeCell ref="A1:L1"/>
    <mergeCell ref="A2:L2"/>
    <mergeCell ref="I3:K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{58617307-f1f5-4993-929d-ef784f407605}</x14:id>
        </ext>
      </extLst>
    </cfRule>
    <cfRule type="dataBar" priority="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{092e628d-317a-4e2e-92de-66e15163d074}</x14:id>
        </ext>
      </extLst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">
    <cfRule type="dataBar" priority="4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{e2bf425e-6d63-4725-b3ab-286af02aaae0}</x14:id>
        </ext>
      </extLst>
    </cfRule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{24cdd712-a06e-4ccf-99e7-1b1631d986c5}</x14:id>
        </ext>
      </extLst>
    </cfRule>
  </conditionalFormatting>
  <conditionalFormatting sqref="J23"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{41a1d1b7-da7a-4a57-bb67-d9dc69e9dc76}</x14:id>
        </ext>
      </extLst>
    </cfRule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{26496cc1-197d-4783-8297-e3d51ec259ee}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8617307-f1f5-4993-929d-ef784f407605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092e628d-317a-4e2e-92de-66e15163d074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e2bf425e-6d63-4725-b3ab-286af02aaae0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24cdd712-a06e-4ccf-99e7-1b1631d986c5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J19</xm:sqref>
        </x14:conditionalFormatting>
        <x14:conditionalFormatting xmlns:xm="http://schemas.microsoft.com/office/excel/2006/main">
          <x14:cfRule type="dataBar" id="{41a1d1b7-da7a-4a57-bb67-d9dc69e9dc76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26496cc1-197d-4783-8297-e3d51ec259ee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opLeftCell="A4" workbookViewId="0">
      <selection activeCell="G10" sqref="G10"/>
    </sheetView>
  </sheetViews>
  <sheetFormatPr defaultColWidth="9" defaultRowHeight="33" customHeight="1"/>
  <cols>
    <col min="1" max="1" width="7.5" customWidth="1"/>
    <col min="2" max="2" width="15.4" customWidth="1"/>
    <col min="3" max="3" width="8.15" customWidth="1"/>
    <col min="4" max="4" width="9.93333333333333" customWidth="1"/>
    <col min="5" max="5" width="9.775" customWidth="1"/>
    <col min="6" max="6" width="9.7" customWidth="1"/>
    <col min="7" max="7" width="10.3" customWidth="1"/>
    <col min="8" max="8" width="12" customWidth="1"/>
    <col min="9" max="9" width="21.2" customWidth="1"/>
    <col min="10" max="10" width="12.2" customWidth="1"/>
    <col min="11" max="11" width="19.8" customWidth="1"/>
    <col min="12" max="12" width="26.3" customWidth="1"/>
  </cols>
  <sheetData>
    <row r="1" ht="68" customHeight="1" spans="1:12">
      <c r="A1" s="1" t="s">
        <v>53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Height="1" spans="1:12">
      <c r="A2" s="29" t="str">
        <f>汇总表!A2</f>
        <v>   工程名称：施甸中光伏发电项目                  日期：2022年12月5日         星期一     天气:晴（7℃-22℃）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ht="47" customHeight="1" spans="1:12">
      <c r="A3" s="29" t="s">
        <v>2</v>
      </c>
      <c r="B3" s="29" t="s">
        <v>3</v>
      </c>
      <c r="C3" s="29" t="s">
        <v>4</v>
      </c>
      <c r="D3" s="8" t="s">
        <v>34</v>
      </c>
      <c r="E3" s="8" t="s">
        <v>7</v>
      </c>
      <c r="F3" s="8" t="s">
        <v>8</v>
      </c>
      <c r="G3" s="8" t="s">
        <v>9</v>
      </c>
      <c r="H3" s="8" t="s">
        <v>35</v>
      </c>
      <c r="I3" s="29" t="s">
        <v>36</v>
      </c>
      <c r="J3" s="29"/>
      <c r="K3" s="29"/>
      <c r="L3" s="29" t="s">
        <v>12</v>
      </c>
    </row>
    <row r="4" customHeight="1" spans="1:12">
      <c r="A4" s="29">
        <v>1</v>
      </c>
      <c r="B4" s="30" t="s">
        <v>13</v>
      </c>
      <c r="C4" s="29" t="s">
        <v>14</v>
      </c>
      <c r="D4" s="29">
        <v>432</v>
      </c>
      <c r="E4" s="29">
        <v>0</v>
      </c>
      <c r="F4" s="31">
        <f t="shared" ref="F4:F15" si="0">E4/D4</f>
        <v>0</v>
      </c>
      <c r="G4" s="29">
        <f>8+5+14+15+18+30+47+25+25+25+20+14+40+41+28+32+20+15</f>
        <v>422</v>
      </c>
      <c r="H4" s="7">
        <f t="shared" ref="H4:H15" si="1">G4/D4</f>
        <v>0.976851851851852</v>
      </c>
      <c r="I4" s="7" t="s">
        <v>37</v>
      </c>
      <c r="J4" s="8" t="s">
        <v>38</v>
      </c>
      <c r="K4" s="8" t="s">
        <v>39</v>
      </c>
      <c r="L4" s="14" t="s">
        <v>54</v>
      </c>
    </row>
    <row r="5" customHeight="1" spans="1:12">
      <c r="A5" s="8">
        <v>2</v>
      </c>
      <c r="B5" s="29" t="s">
        <v>16</v>
      </c>
      <c r="C5" s="29" t="s">
        <v>17</v>
      </c>
      <c r="D5" s="29">
        <v>1728</v>
      </c>
      <c r="E5" s="29">
        <v>0</v>
      </c>
      <c r="F5" s="31">
        <f t="shared" si="0"/>
        <v>0</v>
      </c>
      <c r="G5" s="29">
        <f>56+76+58+100+90+55+64+36+52+33+48+110+60+60+120+80+80+76+64+32+50+60+53+100+50+65</f>
        <v>1728</v>
      </c>
      <c r="H5" s="7">
        <f t="shared" si="1"/>
        <v>1</v>
      </c>
      <c r="I5" s="9" t="s">
        <v>55</v>
      </c>
      <c r="J5" s="8" t="s">
        <v>56</v>
      </c>
      <c r="K5" s="8" t="s">
        <v>57</v>
      </c>
      <c r="L5" s="14"/>
    </row>
    <row r="6" customHeight="1" spans="1:12">
      <c r="A6" s="29">
        <v>3</v>
      </c>
      <c r="B6" s="29" t="s">
        <v>18</v>
      </c>
      <c r="C6" s="29" t="s">
        <v>19</v>
      </c>
      <c r="D6" s="29">
        <f>432*4</f>
        <v>1728</v>
      </c>
      <c r="E6" s="29">
        <v>0</v>
      </c>
      <c r="F6" s="31">
        <f t="shared" si="0"/>
        <v>0</v>
      </c>
      <c r="G6" s="29">
        <f>50+50+300+300+300+300+300+128</f>
        <v>1728</v>
      </c>
      <c r="H6" s="7">
        <f t="shared" si="1"/>
        <v>1</v>
      </c>
      <c r="I6" s="9"/>
      <c r="J6" s="8"/>
      <c r="K6" s="8"/>
      <c r="L6" s="14"/>
    </row>
    <row r="7" customHeight="1" spans="1:12">
      <c r="A7" s="29">
        <v>4</v>
      </c>
      <c r="B7" s="29" t="s">
        <v>20</v>
      </c>
      <c r="C7" s="29" t="s">
        <v>19</v>
      </c>
      <c r="D7" s="29">
        <v>1728</v>
      </c>
      <c r="E7" s="29">
        <v>0</v>
      </c>
      <c r="F7" s="31">
        <f t="shared" si="0"/>
        <v>0</v>
      </c>
      <c r="G7" s="29">
        <f>32+28+44+48+104+64+44+116+72+92+92+96+84+32+60+48+88+72+60+98+88+128+85+53</f>
        <v>1728</v>
      </c>
      <c r="H7" s="7">
        <f t="shared" si="1"/>
        <v>1</v>
      </c>
      <c r="I7" s="9"/>
      <c r="J7" s="8"/>
      <c r="K7" s="8"/>
      <c r="L7" s="14"/>
    </row>
    <row r="8" customHeight="1" spans="1:12">
      <c r="A8" s="32">
        <v>5</v>
      </c>
      <c r="B8" s="33" t="s">
        <v>21</v>
      </c>
      <c r="C8" s="29" t="s">
        <v>22</v>
      </c>
      <c r="D8" s="29">
        <v>432</v>
      </c>
      <c r="E8" s="29">
        <v>4</v>
      </c>
      <c r="F8" s="31">
        <f t="shared" si="0"/>
        <v>0.00925925925925926</v>
      </c>
      <c r="G8" s="29">
        <f>11+8+10+7+3+13+12+8+24+15+16+21+7+14+17+26+19+27+19+17+14+10+4</f>
        <v>322</v>
      </c>
      <c r="H8" s="7">
        <f t="shared" si="1"/>
        <v>0.74537037037037</v>
      </c>
      <c r="I8" s="9"/>
      <c r="J8" s="8"/>
      <c r="K8" s="8"/>
      <c r="L8" s="14"/>
    </row>
    <row r="9" customHeight="1" spans="1:12">
      <c r="A9" s="34"/>
      <c r="B9" s="35"/>
      <c r="C9" s="29" t="s">
        <v>23</v>
      </c>
      <c r="D9" s="29">
        <f t="shared" ref="D9:G9" si="2">D8/66</f>
        <v>6.54545454545455</v>
      </c>
      <c r="E9" s="29">
        <f t="shared" si="2"/>
        <v>0.0606060606060606</v>
      </c>
      <c r="F9" s="31">
        <f t="shared" si="0"/>
        <v>0.00925925925925926</v>
      </c>
      <c r="G9" s="29">
        <f t="shared" si="2"/>
        <v>4.87878787878788</v>
      </c>
      <c r="H9" s="7">
        <f t="shared" si="1"/>
        <v>0.74537037037037</v>
      </c>
      <c r="I9" s="9"/>
      <c r="J9" s="8"/>
      <c r="K9" s="8"/>
      <c r="L9" s="14"/>
    </row>
    <row r="10" customHeight="1" spans="1:12">
      <c r="A10" s="32">
        <v>6</v>
      </c>
      <c r="B10" s="32" t="s">
        <v>24</v>
      </c>
      <c r="C10" s="29" t="s">
        <v>22</v>
      </c>
      <c r="D10" s="29">
        <v>432</v>
      </c>
      <c r="E10" s="29">
        <v>15</v>
      </c>
      <c r="F10" s="31">
        <f t="shared" si="0"/>
        <v>0.0347222222222222</v>
      </c>
      <c r="G10" s="29">
        <f>1+3+6+8+12+13+20+8+16+18+18+15+15+15+18+22+14+21+19+22+13+18+15</f>
        <v>330</v>
      </c>
      <c r="H10" s="7">
        <f t="shared" si="1"/>
        <v>0.763888888888889</v>
      </c>
      <c r="I10" s="9"/>
      <c r="J10" s="8"/>
      <c r="K10" s="8"/>
      <c r="L10" s="14"/>
    </row>
    <row r="11" customHeight="1" spans="1:12">
      <c r="A11" s="34"/>
      <c r="B11" s="34"/>
      <c r="C11" s="29" t="s">
        <v>23</v>
      </c>
      <c r="D11" s="29">
        <f t="shared" ref="D11:G11" si="3">D10/66</f>
        <v>6.54545454545455</v>
      </c>
      <c r="E11" s="29">
        <f t="shared" si="3"/>
        <v>0.227272727272727</v>
      </c>
      <c r="F11" s="31">
        <f t="shared" si="0"/>
        <v>0.0347222222222222</v>
      </c>
      <c r="G11" s="29">
        <f t="shared" si="3"/>
        <v>5</v>
      </c>
      <c r="H11" s="7">
        <f t="shared" si="1"/>
        <v>0.763888888888889</v>
      </c>
      <c r="I11" s="9"/>
      <c r="J11" s="8"/>
      <c r="K11" s="8"/>
      <c r="L11" s="14"/>
    </row>
    <row r="12" customHeight="1" spans="1:12">
      <c r="A12" s="29">
        <v>7</v>
      </c>
      <c r="B12" s="29" t="s">
        <v>44</v>
      </c>
      <c r="C12" s="29" t="s">
        <v>26</v>
      </c>
      <c r="D12" s="29">
        <v>2</v>
      </c>
      <c r="E12" s="29">
        <v>0</v>
      </c>
      <c r="F12" s="31">
        <f t="shared" si="0"/>
        <v>0</v>
      </c>
      <c r="G12" s="29">
        <v>2</v>
      </c>
      <c r="H12" s="7">
        <f t="shared" si="1"/>
        <v>1</v>
      </c>
      <c r="I12" s="9"/>
      <c r="J12" s="8"/>
      <c r="K12" s="8"/>
      <c r="L12" s="14"/>
    </row>
    <row r="13" customHeight="1" spans="1:12">
      <c r="A13" s="29">
        <v>8</v>
      </c>
      <c r="B13" s="29" t="s">
        <v>27</v>
      </c>
      <c r="C13" s="29" t="s">
        <v>26</v>
      </c>
      <c r="D13" s="29">
        <v>31</v>
      </c>
      <c r="E13" s="29">
        <v>0</v>
      </c>
      <c r="F13" s="31">
        <f t="shared" si="0"/>
        <v>0</v>
      </c>
      <c r="G13" s="29">
        <v>0</v>
      </c>
      <c r="H13" s="7">
        <f t="shared" si="1"/>
        <v>0</v>
      </c>
      <c r="I13" s="9"/>
      <c r="J13" s="8"/>
      <c r="K13" s="8"/>
      <c r="L13" s="14"/>
    </row>
    <row r="14" customHeight="1" spans="1:12">
      <c r="A14" s="29">
        <v>9</v>
      </c>
      <c r="B14" s="30" t="s">
        <v>28</v>
      </c>
      <c r="C14" s="29" t="s">
        <v>29</v>
      </c>
      <c r="D14" s="29">
        <v>2</v>
      </c>
      <c r="E14" s="29">
        <v>0.1</v>
      </c>
      <c r="F14" s="31">
        <f t="shared" si="0"/>
        <v>0.05</v>
      </c>
      <c r="G14" s="29">
        <v>0.2</v>
      </c>
      <c r="H14" s="7">
        <f t="shared" si="1"/>
        <v>0.1</v>
      </c>
      <c r="I14" s="9"/>
      <c r="J14" s="8"/>
      <c r="K14" s="8"/>
      <c r="L14" s="14"/>
    </row>
    <row r="15" customHeight="1" spans="1:12">
      <c r="A15" s="29">
        <v>10</v>
      </c>
      <c r="B15" s="30" t="s">
        <v>30</v>
      </c>
      <c r="C15" s="29" t="s">
        <v>29</v>
      </c>
      <c r="D15" s="29">
        <v>2</v>
      </c>
      <c r="E15" s="29">
        <v>0</v>
      </c>
      <c r="F15" s="31">
        <f t="shared" si="0"/>
        <v>0</v>
      </c>
      <c r="G15" s="29">
        <v>0</v>
      </c>
      <c r="H15" s="7">
        <f t="shared" si="1"/>
        <v>0</v>
      </c>
      <c r="I15" s="9"/>
      <c r="J15" s="8"/>
      <c r="K15" s="8"/>
      <c r="L15" s="14"/>
    </row>
    <row r="16" customHeight="1" spans="1:12">
      <c r="A16" s="18"/>
      <c r="B16" s="18"/>
      <c r="C16" s="18"/>
      <c r="D16" s="18"/>
      <c r="E16" s="18"/>
      <c r="F16" s="18"/>
      <c r="G16" s="18"/>
      <c r="H16" s="18"/>
      <c r="I16" s="18"/>
      <c r="J16" s="22"/>
      <c r="K16" s="22"/>
      <c r="L16" s="26"/>
    </row>
    <row r="17" customHeight="1" spans="1:12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2"/>
      <c r="L17" s="26"/>
    </row>
    <row r="18" customHeight="1" spans="1:12">
      <c r="A18" s="18"/>
      <c r="B18" s="18"/>
      <c r="C18" s="18"/>
      <c r="D18" s="18"/>
      <c r="E18" s="18"/>
      <c r="F18" s="18"/>
      <c r="G18" s="18"/>
      <c r="H18" s="18"/>
      <c r="I18" s="18"/>
      <c r="J18" s="22"/>
      <c r="K18" s="22"/>
      <c r="L18" s="26"/>
    </row>
    <row r="19" customHeight="1" spans="1:12">
      <c r="A19" s="18"/>
      <c r="B19" s="19"/>
      <c r="C19" s="18"/>
      <c r="D19" s="18"/>
      <c r="E19" s="18"/>
      <c r="F19" s="18"/>
      <c r="G19" s="18"/>
      <c r="H19" s="18"/>
      <c r="I19" s="18"/>
      <c r="J19" s="22"/>
      <c r="K19" s="22"/>
      <c r="L19" s="26"/>
    </row>
    <row r="20" customHeight="1" spans="1:12">
      <c r="A20" s="22"/>
      <c r="B20" s="18"/>
      <c r="C20" s="18"/>
      <c r="D20" s="18"/>
      <c r="E20" s="18"/>
      <c r="F20" s="18"/>
      <c r="G20" s="18"/>
      <c r="H20" s="18"/>
      <c r="I20" s="18"/>
      <c r="J20" s="22"/>
      <c r="K20" s="22"/>
      <c r="L20" s="26"/>
    </row>
    <row r="21" customHeight="1" spans="1:12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2"/>
      <c r="L21" s="26"/>
    </row>
    <row r="22" customHeight="1" spans="1:12">
      <c r="A22" s="18"/>
      <c r="B22" s="18"/>
      <c r="C22" s="18"/>
      <c r="D22" s="18"/>
      <c r="E22" s="18"/>
      <c r="F22" s="18"/>
      <c r="G22" s="18"/>
      <c r="H22" s="18"/>
      <c r="I22" s="18"/>
      <c r="J22" s="22"/>
      <c r="K22" s="22"/>
      <c r="L22" s="26"/>
    </row>
    <row r="23" customHeight="1" spans="1:12">
      <c r="A23" s="18"/>
      <c r="B23" s="19"/>
      <c r="C23" s="18"/>
      <c r="D23" s="18"/>
      <c r="E23" s="18"/>
      <c r="F23" s="18"/>
      <c r="G23" s="18"/>
      <c r="H23" s="18"/>
      <c r="I23" s="18"/>
      <c r="J23" s="22"/>
      <c r="K23" s="22"/>
      <c r="L23" s="26"/>
    </row>
    <row r="24" customHeight="1" spans="1:12">
      <c r="A24" s="22"/>
      <c r="B24" s="18"/>
      <c r="C24" s="18"/>
      <c r="D24" s="18"/>
      <c r="E24" s="18"/>
      <c r="F24" s="18"/>
      <c r="G24" s="18"/>
      <c r="H24" s="18"/>
      <c r="I24" s="18"/>
      <c r="J24" s="22"/>
      <c r="K24" s="22"/>
      <c r="L24" s="26"/>
    </row>
    <row r="25" customHeight="1" spans="1:12">
      <c r="A25" s="18"/>
      <c r="B25" s="18"/>
      <c r="C25" s="18"/>
      <c r="D25" s="18"/>
      <c r="E25" s="18"/>
      <c r="F25" s="18"/>
      <c r="G25" s="18"/>
      <c r="H25" s="18"/>
      <c r="I25" s="18"/>
      <c r="J25" s="22"/>
      <c r="K25" s="22"/>
      <c r="L25" s="26"/>
    </row>
    <row r="26" customHeight="1" spans="1:12">
      <c r="A26" s="18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6"/>
    </row>
  </sheetData>
  <mergeCells count="22">
    <mergeCell ref="A1:L1"/>
    <mergeCell ref="A2:L2"/>
    <mergeCell ref="I3:K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{c96b8de0-8707-4313-aa12-1d676d6c8211}</x14:id>
        </ext>
      </extLst>
    </cfRule>
    <cfRule type="dataBar" priority="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{b7a57399-58ef-4634-bf73-16ada062531a}</x14:id>
        </ext>
      </extLst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">
    <cfRule type="dataBar" priority="4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{7fe1434f-d880-429c-bf8d-09af2bb1c621}</x14:id>
        </ext>
      </extLst>
    </cfRule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{2b4b7f41-bdd6-40f0-9d51-eb79872eb791}</x14:id>
        </ext>
      </extLst>
    </cfRule>
  </conditionalFormatting>
  <conditionalFormatting sqref="J23"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{99b3a130-0e18-45e7-93f3-e23f1c280610}</x14:id>
        </ext>
      </extLst>
    </cfRule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{7677d781-f555-4dea-adde-b6eea7d340ad}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6b8de0-8707-4313-aa12-1d676d6c8211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b7a57399-58ef-4634-bf73-16ada062531a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7fe1434f-d880-429c-bf8d-09af2bb1c621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2b4b7f41-bdd6-40f0-9d51-eb79872eb791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J19</xm:sqref>
        </x14:conditionalFormatting>
        <x14:conditionalFormatting xmlns:xm="http://schemas.microsoft.com/office/excel/2006/main">
          <x14:cfRule type="dataBar" id="{99b3a130-0e18-45e7-93f3-e23f1c280610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7677d781-f555-4dea-adde-b6eea7d340ad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J23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26"/>
  <sheetViews>
    <sheetView zoomScale="70" zoomScaleNormal="70" topLeftCell="B8" workbookViewId="0">
      <selection activeCell="G16" sqref="G16"/>
    </sheetView>
  </sheetViews>
  <sheetFormatPr defaultColWidth="76" defaultRowHeight="15.6"/>
  <cols>
    <col min="1" max="1" width="27.1166666666667" style="21" customWidth="1"/>
    <col min="2" max="2" width="48.175" style="21" customWidth="1"/>
    <col min="3" max="3" width="8.15" style="21" customWidth="1"/>
    <col min="4" max="4" width="9.93333333333333" style="21" customWidth="1"/>
    <col min="5" max="5" width="9.775" style="21" customWidth="1"/>
    <col min="6" max="8" width="14.0833333333333" style="21" customWidth="1"/>
    <col min="9" max="11" width="25.5833333333333" style="21" customWidth="1"/>
    <col min="12" max="12" width="48.4833333333333" style="21" customWidth="1"/>
    <col min="13" max="255" width="76.9" style="21"/>
    <col min="256" max="16383" width="76.9" style="20"/>
    <col min="16384" max="16384" width="76" style="20"/>
  </cols>
  <sheetData>
    <row r="1" s="17" customFormat="1" ht="82" customHeight="1" spans="1:257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0"/>
      <c r="IW1" s="20"/>
    </row>
    <row r="2" s="18" customFormat="1" ht="45" customHeight="1" spans="1:257">
      <c r="A2" s="3" t="str">
        <f>汇总表!A2</f>
        <v>   工程名称：施甸中光伏发电项目                  日期：2022年12月5日         星期一     天气:晴（7℃-22℃）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0"/>
      <c r="IW2" s="20"/>
    </row>
    <row r="3" s="18" customFormat="1" ht="60" customHeight="1" spans="1:257">
      <c r="A3" s="4" t="s">
        <v>2</v>
      </c>
      <c r="B3" s="4" t="s">
        <v>3</v>
      </c>
      <c r="C3" s="4" t="s">
        <v>4</v>
      </c>
      <c r="D3" s="5" t="s">
        <v>34</v>
      </c>
      <c r="E3" s="5" t="s">
        <v>7</v>
      </c>
      <c r="F3" s="5" t="s">
        <v>8</v>
      </c>
      <c r="G3" s="5" t="s">
        <v>9</v>
      </c>
      <c r="H3" s="5" t="s">
        <v>35</v>
      </c>
      <c r="I3" s="4" t="s">
        <v>36</v>
      </c>
      <c r="J3" s="4"/>
      <c r="K3" s="4"/>
      <c r="L3" s="4" t="s">
        <v>12</v>
      </c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0"/>
      <c r="IW3" s="20"/>
    </row>
    <row r="4" s="19" customFormat="1" ht="60" customHeight="1" spans="1:256">
      <c r="A4" s="4">
        <v>1</v>
      </c>
      <c r="B4" s="6" t="s">
        <v>13</v>
      </c>
      <c r="C4" s="4" t="s">
        <v>14</v>
      </c>
      <c r="D4" s="4">
        <v>768</v>
      </c>
      <c r="E4" s="4">
        <v>0</v>
      </c>
      <c r="F4" s="15">
        <f t="shared" ref="F4:F15" si="0">E4/D4</f>
        <v>0</v>
      </c>
      <c r="G4" s="4">
        <f>1+10+3+13+2+2+3+2+1+20+3+10+9+4+19+2+3+1+10+4+16+8+5+18+4+9+10+7+6+16+14+23+2+20+20+20+11+4+16+18+6+8+6+16+8+14+8+22+14+8+8+5+8+10+6+30+10+20+30+20+15+20+15+15+15+22+10+9</f>
        <v>747</v>
      </c>
      <c r="H4" s="23">
        <f t="shared" ref="H4:H15" si="1">G4/D4</f>
        <v>0.97265625</v>
      </c>
      <c r="I4" s="23" t="s">
        <v>37</v>
      </c>
      <c r="J4" s="5" t="s">
        <v>38</v>
      </c>
      <c r="K4" s="5" t="s">
        <v>39</v>
      </c>
      <c r="L4" s="24" t="s">
        <v>59</v>
      </c>
      <c r="P4" s="26"/>
      <c r="Q4" s="26"/>
      <c r="X4" s="26"/>
      <c r="Y4" s="26"/>
      <c r="AF4" s="26"/>
      <c r="AG4" s="26"/>
      <c r="AN4" s="26"/>
      <c r="AO4" s="26"/>
      <c r="AV4" s="26"/>
      <c r="AW4" s="26"/>
      <c r="BD4" s="26"/>
      <c r="BE4" s="26"/>
      <c r="BL4" s="26"/>
      <c r="BM4" s="26"/>
      <c r="BT4" s="26"/>
      <c r="BU4" s="26"/>
      <c r="CB4" s="26"/>
      <c r="CC4" s="26"/>
      <c r="CJ4" s="26"/>
      <c r="CK4" s="26"/>
      <c r="CR4" s="26"/>
      <c r="CS4" s="26"/>
      <c r="CZ4" s="26"/>
      <c r="DA4" s="26"/>
      <c r="DH4" s="26"/>
      <c r="DI4" s="26"/>
      <c r="DP4" s="26"/>
      <c r="DQ4" s="26"/>
      <c r="DX4" s="26"/>
      <c r="DY4" s="26"/>
      <c r="EF4" s="26"/>
      <c r="EG4" s="26"/>
      <c r="EN4" s="26"/>
      <c r="EO4" s="26"/>
      <c r="EV4" s="26"/>
      <c r="EW4" s="26"/>
      <c r="FD4" s="26"/>
      <c r="FE4" s="26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</row>
    <row r="5" s="18" customFormat="1" ht="60" customHeight="1" spans="1:257">
      <c r="A5" s="5">
        <v>2</v>
      </c>
      <c r="B5" s="4" t="s">
        <v>16</v>
      </c>
      <c r="C5" s="4" t="s">
        <v>17</v>
      </c>
      <c r="D5" s="4">
        <v>3072</v>
      </c>
      <c r="E5" s="4">
        <v>0</v>
      </c>
      <c r="F5" s="15">
        <f t="shared" si="0"/>
        <v>0</v>
      </c>
      <c r="G5" s="4">
        <v>3072</v>
      </c>
      <c r="H5" s="23">
        <f t="shared" si="1"/>
        <v>1</v>
      </c>
      <c r="I5" s="25" t="s">
        <v>60</v>
      </c>
      <c r="J5" s="5" t="s">
        <v>42</v>
      </c>
      <c r="K5" s="5" t="s">
        <v>61</v>
      </c>
      <c r="L5" s="24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0"/>
      <c r="IW5" s="20"/>
    </row>
    <row r="6" s="20" customFormat="1" ht="60" customHeight="1" spans="1:255">
      <c r="A6" s="4">
        <v>3</v>
      </c>
      <c r="B6" s="4" t="s">
        <v>18</v>
      </c>
      <c r="C6" s="4" t="s">
        <v>19</v>
      </c>
      <c r="D6" s="4">
        <v>3072</v>
      </c>
      <c r="E6" s="4">
        <v>0</v>
      </c>
      <c r="F6" s="15">
        <f t="shared" si="0"/>
        <v>0</v>
      </c>
      <c r="G6" s="4">
        <v>3072</v>
      </c>
      <c r="H6" s="23">
        <f t="shared" si="1"/>
        <v>1</v>
      </c>
      <c r="I6" s="25"/>
      <c r="J6" s="5"/>
      <c r="K6" s="5"/>
      <c r="L6" s="24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</row>
    <row r="7" s="20" customFormat="1" ht="60" customHeight="1" spans="1:255">
      <c r="A7" s="4">
        <v>4</v>
      </c>
      <c r="B7" s="4" t="s">
        <v>20</v>
      </c>
      <c r="C7" s="4" t="s">
        <v>19</v>
      </c>
      <c r="D7" s="4">
        <v>3072</v>
      </c>
      <c r="E7" s="4">
        <v>0</v>
      </c>
      <c r="F7" s="15">
        <f t="shared" si="0"/>
        <v>0</v>
      </c>
      <c r="G7" s="4">
        <v>3072</v>
      </c>
      <c r="H7" s="23">
        <f t="shared" si="1"/>
        <v>1</v>
      </c>
      <c r="I7" s="25"/>
      <c r="J7" s="5"/>
      <c r="K7" s="5"/>
      <c r="L7" s="24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</row>
    <row r="8" s="19" customFormat="1" ht="60" customHeight="1" spans="1:256">
      <c r="A8" s="10">
        <v>5</v>
      </c>
      <c r="B8" s="11" t="s">
        <v>21</v>
      </c>
      <c r="C8" s="4" t="s">
        <v>22</v>
      </c>
      <c r="D8" s="4">
        <v>768</v>
      </c>
      <c r="E8" s="4">
        <v>0</v>
      </c>
      <c r="F8" s="15">
        <f t="shared" si="0"/>
        <v>0</v>
      </c>
      <c r="G8" s="4">
        <v>768</v>
      </c>
      <c r="H8" s="23">
        <f t="shared" si="1"/>
        <v>1</v>
      </c>
      <c r="I8" s="25"/>
      <c r="J8" s="5"/>
      <c r="K8" s="5"/>
      <c r="L8" s="24"/>
      <c r="P8" s="26"/>
      <c r="Q8" s="26"/>
      <c r="X8" s="26"/>
      <c r="Y8" s="26"/>
      <c r="AF8" s="26"/>
      <c r="AG8" s="26"/>
      <c r="AN8" s="26"/>
      <c r="AO8" s="26"/>
      <c r="AV8" s="26"/>
      <c r="AW8" s="26"/>
      <c r="BD8" s="26"/>
      <c r="BE8" s="26"/>
      <c r="BL8" s="26"/>
      <c r="BM8" s="26"/>
      <c r="BT8" s="26"/>
      <c r="BU8" s="26"/>
      <c r="CB8" s="26"/>
      <c r="CC8" s="26"/>
      <c r="CJ8" s="26"/>
      <c r="CK8" s="26"/>
      <c r="CR8" s="26"/>
      <c r="CS8" s="26"/>
      <c r="CZ8" s="26"/>
      <c r="DA8" s="26"/>
      <c r="DH8" s="26"/>
      <c r="DI8" s="26"/>
      <c r="DP8" s="26"/>
      <c r="DQ8" s="26"/>
      <c r="DX8" s="26"/>
      <c r="DY8" s="26"/>
      <c r="EF8" s="26"/>
      <c r="EG8" s="26"/>
      <c r="EN8" s="26"/>
      <c r="EO8" s="26"/>
      <c r="EV8" s="26"/>
      <c r="EW8" s="26"/>
      <c r="FD8" s="26"/>
      <c r="FE8" s="26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="18" customFormat="1" ht="60" customHeight="1" spans="1:257">
      <c r="A9" s="12"/>
      <c r="B9" s="13"/>
      <c r="C9" s="4" t="s">
        <v>23</v>
      </c>
      <c r="D9" s="4">
        <f>D8/66</f>
        <v>11.6363636363636</v>
      </c>
      <c r="E9" s="4">
        <f>E8/66</f>
        <v>0</v>
      </c>
      <c r="F9" s="15">
        <f t="shared" si="0"/>
        <v>0</v>
      </c>
      <c r="G9" s="4">
        <f>G8/66</f>
        <v>11.6363636363636</v>
      </c>
      <c r="H9" s="23">
        <f t="shared" si="1"/>
        <v>1</v>
      </c>
      <c r="I9" s="25"/>
      <c r="J9" s="5"/>
      <c r="K9" s="5"/>
      <c r="L9" s="24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0"/>
      <c r="IW9" s="20"/>
    </row>
    <row r="10" s="18" customFormat="1" ht="60" customHeight="1" spans="1:257">
      <c r="A10" s="10">
        <v>6</v>
      </c>
      <c r="B10" s="10" t="s">
        <v>24</v>
      </c>
      <c r="C10" s="4" t="s">
        <v>22</v>
      </c>
      <c r="D10" s="4">
        <v>768</v>
      </c>
      <c r="E10" s="4">
        <v>0</v>
      </c>
      <c r="F10" s="15">
        <f t="shared" si="0"/>
        <v>0</v>
      </c>
      <c r="G10" s="4">
        <v>768</v>
      </c>
      <c r="H10" s="23">
        <f t="shared" si="1"/>
        <v>1</v>
      </c>
      <c r="I10" s="25"/>
      <c r="J10" s="5"/>
      <c r="K10" s="5"/>
      <c r="L10" s="24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0"/>
      <c r="IW10" s="20"/>
    </row>
    <row r="11" s="20" customFormat="1" ht="60" customHeight="1" spans="1:255">
      <c r="A11" s="12"/>
      <c r="B11" s="12"/>
      <c r="C11" s="4" t="s">
        <v>23</v>
      </c>
      <c r="D11" s="4">
        <f>D10/66</f>
        <v>11.6363636363636</v>
      </c>
      <c r="E11" s="4">
        <f>E10/66</f>
        <v>0</v>
      </c>
      <c r="F11" s="15">
        <f t="shared" si="0"/>
        <v>0</v>
      </c>
      <c r="G11" s="4">
        <f>G10/66</f>
        <v>11.6363636363636</v>
      </c>
      <c r="H11" s="23">
        <f t="shared" si="1"/>
        <v>1</v>
      </c>
      <c r="I11" s="25"/>
      <c r="J11" s="5"/>
      <c r="K11" s="5"/>
      <c r="L11" s="24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</row>
    <row r="12" s="20" customFormat="1" ht="60" customHeight="1" spans="1:255">
      <c r="A12" s="4">
        <v>7</v>
      </c>
      <c r="B12" s="4" t="s">
        <v>44</v>
      </c>
      <c r="C12" s="4" t="s">
        <v>26</v>
      </c>
      <c r="D12" s="4">
        <v>3</v>
      </c>
      <c r="E12" s="4">
        <v>0</v>
      </c>
      <c r="F12" s="15">
        <f t="shared" si="0"/>
        <v>0</v>
      </c>
      <c r="G12" s="4">
        <v>3</v>
      </c>
      <c r="H12" s="23">
        <f t="shared" si="1"/>
        <v>1</v>
      </c>
      <c r="I12" s="25"/>
      <c r="J12" s="5"/>
      <c r="K12" s="5"/>
      <c r="L12" s="24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</row>
    <row r="13" s="20" customFormat="1" ht="60" customHeight="1" spans="1:255">
      <c r="A13" s="4">
        <v>8</v>
      </c>
      <c r="B13" s="4" t="s">
        <v>27</v>
      </c>
      <c r="C13" s="4" t="s">
        <v>26</v>
      </c>
      <c r="D13" s="4">
        <v>44</v>
      </c>
      <c r="E13" s="4">
        <v>0</v>
      </c>
      <c r="F13" s="15">
        <f t="shared" si="0"/>
        <v>0</v>
      </c>
      <c r="G13" s="4">
        <v>36</v>
      </c>
      <c r="H13" s="23">
        <f t="shared" si="1"/>
        <v>0.818181818181818</v>
      </c>
      <c r="I13" s="25"/>
      <c r="J13" s="5"/>
      <c r="K13" s="5"/>
      <c r="L13" s="24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</row>
    <row r="14" s="19" customFormat="1" ht="60" customHeight="1" spans="1:256">
      <c r="A14" s="4">
        <v>9</v>
      </c>
      <c r="B14" s="6" t="s">
        <v>28</v>
      </c>
      <c r="C14" s="4" t="s">
        <v>29</v>
      </c>
      <c r="D14" s="4">
        <v>3</v>
      </c>
      <c r="E14" s="4">
        <v>0.1</v>
      </c>
      <c r="F14" s="15">
        <f t="shared" si="0"/>
        <v>0.0333333333333333</v>
      </c>
      <c r="G14" s="4">
        <v>2.2</v>
      </c>
      <c r="H14" s="23">
        <f t="shared" si="1"/>
        <v>0.733333333333333</v>
      </c>
      <c r="I14" s="25"/>
      <c r="J14" s="5"/>
      <c r="K14" s="5"/>
      <c r="L14" s="24"/>
      <c r="P14" s="26"/>
      <c r="Q14" s="26"/>
      <c r="X14" s="26"/>
      <c r="Y14" s="26"/>
      <c r="AF14" s="26"/>
      <c r="AG14" s="26"/>
      <c r="AN14" s="26"/>
      <c r="AO14" s="26"/>
      <c r="AV14" s="26"/>
      <c r="AW14" s="26"/>
      <c r="BD14" s="26"/>
      <c r="BE14" s="26"/>
      <c r="BL14" s="26"/>
      <c r="BM14" s="26"/>
      <c r="BT14" s="26"/>
      <c r="BU14" s="26"/>
      <c r="CB14" s="26"/>
      <c r="CC14" s="26"/>
      <c r="CJ14" s="26"/>
      <c r="CK14" s="26"/>
      <c r="CR14" s="26"/>
      <c r="CS14" s="26"/>
      <c r="CZ14" s="26"/>
      <c r="DA14" s="26"/>
      <c r="DH14" s="26"/>
      <c r="DI14" s="26"/>
      <c r="DP14" s="26"/>
      <c r="DQ14" s="26"/>
      <c r="DX14" s="26"/>
      <c r="DY14" s="26"/>
      <c r="EF14" s="26"/>
      <c r="EG14" s="26"/>
      <c r="EN14" s="26"/>
      <c r="EO14" s="26"/>
      <c r="EV14" s="26"/>
      <c r="EW14" s="26"/>
      <c r="FD14" s="26"/>
      <c r="FE14" s="26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</row>
    <row r="15" s="19" customFormat="1" ht="60" customHeight="1" spans="1:256">
      <c r="A15" s="4">
        <v>10</v>
      </c>
      <c r="B15" s="6" t="s">
        <v>30</v>
      </c>
      <c r="C15" s="4" t="s">
        <v>29</v>
      </c>
      <c r="D15" s="4">
        <v>3</v>
      </c>
      <c r="E15" s="4">
        <v>0.2</v>
      </c>
      <c r="F15" s="15">
        <f t="shared" si="0"/>
        <v>0.0666666666666667</v>
      </c>
      <c r="G15" s="4">
        <v>2.7</v>
      </c>
      <c r="H15" s="23">
        <f t="shared" si="1"/>
        <v>0.9</v>
      </c>
      <c r="I15" s="25"/>
      <c r="J15" s="5"/>
      <c r="K15" s="5"/>
      <c r="L15" s="24"/>
      <c r="P15" s="26"/>
      <c r="Q15" s="26"/>
      <c r="X15" s="26"/>
      <c r="Y15" s="26"/>
      <c r="AF15" s="26"/>
      <c r="AG15" s="26"/>
      <c r="AN15" s="26"/>
      <c r="AO15" s="26"/>
      <c r="AV15" s="26"/>
      <c r="AW15" s="26"/>
      <c r="BD15" s="26"/>
      <c r="BE15" s="26"/>
      <c r="BL15" s="26"/>
      <c r="BM15" s="26"/>
      <c r="BT15" s="26"/>
      <c r="BU15" s="26"/>
      <c r="CB15" s="26"/>
      <c r="CC15" s="26"/>
      <c r="CJ15" s="26"/>
      <c r="CK15" s="26"/>
      <c r="CR15" s="26"/>
      <c r="CS15" s="26"/>
      <c r="CZ15" s="26"/>
      <c r="DA15" s="26"/>
      <c r="DH15" s="26"/>
      <c r="DI15" s="26"/>
      <c r="DP15" s="26"/>
      <c r="DQ15" s="26"/>
      <c r="DX15" s="26"/>
      <c r="DY15" s="26"/>
      <c r="EF15" s="26"/>
      <c r="EG15" s="26"/>
      <c r="EN15" s="26"/>
      <c r="EO15" s="26"/>
      <c r="EV15" s="26"/>
      <c r="EW15" s="26"/>
      <c r="FD15" s="26"/>
      <c r="FE15" s="26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</row>
    <row r="16" s="18" customFormat="1" ht="46" customHeight="1" spans="10:257">
      <c r="J16" s="22"/>
      <c r="K16" s="22"/>
      <c r="L16" s="26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0"/>
      <c r="IW16" s="20"/>
    </row>
    <row r="17" s="20" customFormat="1" ht="42" customHeight="1" spans="1:255">
      <c r="A17" s="18"/>
      <c r="B17" s="18"/>
      <c r="C17" s="18"/>
      <c r="D17" s="18"/>
      <c r="E17" s="18"/>
      <c r="F17" s="18"/>
      <c r="G17" s="18"/>
      <c r="H17" s="18"/>
      <c r="I17" s="18"/>
      <c r="J17" s="22"/>
      <c r="K17" s="22"/>
      <c r="L17" s="26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="20" customFormat="1" ht="42" customHeight="1" spans="1:255">
      <c r="A18" s="18"/>
      <c r="B18" s="18"/>
      <c r="C18" s="18"/>
      <c r="D18" s="18"/>
      <c r="E18" s="18"/>
      <c r="F18" s="18"/>
      <c r="G18" s="18"/>
      <c r="H18" s="18"/>
      <c r="I18" s="18"/>
      <c r="J18" s="22"/>
      <c r="K18" s="22"/>
      <c r="L18" s="26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</row>
    <row r="19" s="19" customFormat="1" ht="45.95" customHeight="1" spans="1:256">
      <c r="A19" s="18"/>
      <c r="C19" s="18"/>
      <c r="D19" s="18"/>
      <c r="E19" s="18"/>
      <c r="F19" s="18"/>
      <c r="G19" s="18"/>
      <c r="H19" s="18"/>
      <c r="I19" s="18"/>
      <c r="J19" s="22"/>
      <c r="K19" s="22"/>
      <c r="L19" s="26"/>
      <c r="P19" s="26"/>
      <c r="Q19" s="26"/>
      <c r="X19" s="26"/>
      <c r="Y19" s="26"/>
      <c r="AF19" s="26"/>
      <c r="AG19" s="26"/>
      <c r="AN19" s="26"/>
      <c r="AO19" s="26"/>
      <c r="AV19" s="26"/>
      <c r="AW19" s="26"/>
      <c r="BD19" s="26"/>
      <c r="BE19" s="26"/>
      <c r="BL19" s="26"/>
      <c r="BM19" s="26"/>
      <c r="BT19" s="26"/>
      <c r="BU19" s="26"/>
      <c r="CB19" s="26"/>
      <c r="CC19" s="26"/>
      <c r="CJ19" s="26"/>
      <c r="CK19" s="26"/>
      <c r="CR19" s="26"/>
      <c r="CS19" s="26"/>
      <c r="CZ19" s="26"/>
      <c r="DA19" s="26"/>
      <c r="DH19" s="26"/>
      <c r="DI19" s="26"/>
      <c r="DP19" s="26"/>
      <c r="DQ19" s="26"/>
      <c r="DX19" s="26"/>
      <c r="DY19" s="26"/>
      <c r="EF19" s="26"/>
      <c r="EG19" s="26"/>
      <c r="EN19" s="26"/>
      <c r="EO19" s="26"/>
      <c r="EV19" s="26"/>
      <c r="EW19" s="26"/>
      <c r="FD19" s="26"/>
      <c r="FE19" s="26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</row>
    <row r="20" s="18" customFormat="1" ht="46" customHeight="1" spans="1:257">
      <c r="A20" s="22"/>
      <c r="J20" s="22"/>
      <c r="K20" s="22"/>
      <c r="L20" s="26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0"/>
      <c r="IW20" s="20"/>
    </row>
    <row r="21" s="20" customFormat="1" ht="42" customHeight="1" spans="1:255">
      <c r="A21" s="18"/>
      <c r="B21" s="18"/>
      <c r="C21" s="18"/>
      <c r="D21" s="18"/>
      <c r="E21" s="18"/>
      <c r="F21" s="18"/>
      <c r="G21" s="18"/>
      <c r="H21" s="18"/>
      <c r="I21" s="18"/>
      <c r="J21" s="22"/>
      <c r="K21" s="22"/>
      <c r="L21" s="26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</row>
    <row r="22" s="20" customFormat="1" ht="42" customHeight="1" spans="1:255">
      <c r="A22" s="18"/>
      <c r="B22" s="18"/>
      <c r="C22" s="18"/>
      <c r="D22" s="18"/>
      <c r="E22" s="18"/>
      <c r="F22" s="18"/>
      <c r="G22" s="18"/>
      <c r="H22" s="18"/>
      <c r="I22" s="18"/>
      <c r="J22" s="22"/>
      <c r="K22" s="22"/>
      <c r="L22" s="26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</row>
    <row r="23" s="19" customFormat="1" ht="45.95" customHeight="1" spans="1:256">
      <c r="A23" s="18"/>
      <c r="C23" s="18"/>
      <c r="D23" s="18"/>
      <c r="E23" s="18"/>
      <c r="F23" s="18"/>
      <c r="G23" s="18"/>
      <c r="H23" s="18"/>
      <c r="I23" s="18"/>
      <c r="J23" s="22"/>
      <c r="K23" s="22"/>
      <c r="L23" s="26"/>
      <c r="P23" s="26"/>
      <c r="Q23" s="26"/>
      <c r="X23" s="26"/>
      <c r="Y23" s="26"/>
      <c r="AF23" s="26"/>
      <c r="AG23" s="26"/>
      <c r="AN23" s="26"/>
      <c r="AO23" s="26"/>
      <c r="AV23" s="26"/>
      <c r="AW23" s="26"/>
      <c r="BD23" s="26"/>
      <c r="BE23" s="26"/>
      <c r="BL23" s="26"/>
      <c r="BM23" s="26"/>
      <c r="BT23" s="26"/>
      <c r="BU23" s="26"/>
      <c r="CB23" s="26"/>
      <c r="CC23" s="26"/>
      <c r="CJ23" s="26"/>
      <c r="CK23" s="26"/>
      <c r="CR23" s="26"/>
      <c r="CS23" s="26"/>
      <c r="CZ23" s="26"/>
      <c r="DA23" s="26"/>
      <c r="DH23" s="26"/>
      <c r="DI23" s="26"/>
      <c r="DP23" s="26"/>
      <c r="DQ23" s="26"/>
      <c r="DX23" s="26"/>
      <c r="DY23" s="26"/>
      <c r="EF23" s="26"/>
      <c r="EG23" s="26"/>
      <c r="EN23" s="26"/>
      <c r="EO23" s="26"/>
      <c r="EV23" s="26"/>
      <c r="EW23" s="26"/>
      <c r="FD23" s="26"/>
      <c r="FE23" s="26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</row>
    <row r="24" s="18" customFormat="1" ht="46" customHeight="1" spans="1:257">
      <c r="A24" s="22"/>
      <c r="J24" s="22"/>
      <c r="K24" s="22"/>
      <c r="L24" s="26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0"/>
      <c r="IW24" s="20"/>
    </row>
    <row r="25" s="20" customFormat="1" ht="42" customHeight="1" spans="1:255">
      <c r="A25" s="18"/>
      <c r="B25" s="18"/>
      <c r="C25" s="18"/>
      <c r="D25" s="18"/>
      <c r="E25" s="18"/>
      <c r="F25" s="18"/>
      <c r="G25" s="18"/>
      <c r="H25" s="18"/>
      <c r="I25" s="18"/>
      <c r="J25" s="22"/>
      <c r="K25" s="22"/>
      <c r="L25" s="26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</row>
    <row r="26" s="20" customFormat="1" ht="42" customHeight="1" spans="1:255">
      <c r="A26" s="18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6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</row>
  </sheetData>
  <mergeCells count="22">
    <mergeCell ref="A1:L1"/>
    <mergeCell ref="A2:L2"/>
    <mergeCell ref="I3:K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A8:A9"/>
    <mergeCell ref="A10:A11"/>
    <mergeCell ref="B8:B9"/>
    <mergeCell ref="B10:B11"/>
    <mergeCell ref="I5:I15"/>
    <mergeCell ref="J5:J15"/>
    <mergeCell ref="K5:K15"/>
    <mergeCell ref="L4:L15"/>
  </mergeCells>
  <conditionalFormatting sqref="J4">
    <cfRule type="dataBar" priority="3276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{c81f41aa-8817-4a56-88fd-2950c4199086}</x14:id>
        </ext>
      </extLst>
    </cfRule>
    <cfRule type="dataBar" priority="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{0fc81ba8-245a-443d-a0f4-a9ec9243325f}</x14:id>
        </ext>
      </extLst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9">
    <cfRule type="dataBar" priority="4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{b2d1a5b2-fe44-4028-925d-ff9c3f35436a}</x14:id>
        </ext>
      </extLst>
    </cfRule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{65867d03-5340-4576-ab63-b06a90393594}</x14:id>
        </ext>
      </extLst>
    </cfRule>
  </conditionalFormatting>
  <conditionalFormatting sqref="J23"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{0e48bfc9-df64-49b5-bc80-e7a370d6a328}</x14:id>
        </ext>
      </extLst>
    </cfRule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76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{4fd86a72-3182-444e-8b59-566f5b2b287d}</x14:id>
        </ext>
      </extLst>
    </cfRule>
  </conditionalFormatting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81f41aa-8817-4a56-88fd-2950c4199086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0fc81ba8-245a-443d-a0f4-a9ec9243325f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b2d1a5b2-fe44-4028-925d-ff9c3f35436a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65867d03-5340-4576-ab63-b06a90393594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J19</xm:sqref>
        </x14:conditionalFormatting>
        <x14:conditionalFormatting xmlns:xm="http://schemas.microsoft.com/office/excel/2006/main">
          <x14:cfRule type="dataBar" id="{0e48bfc9-df64-49b5-bc80-e7a370d6a328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14:cfRule type="dataBar" id="{4fd86a72-3182-444e-8b59-566f5b2b287d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J23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汇总表</vt:lpstr>
      <vt:lpstr>明日计划</vt:lpstr>
      <vt:lpstr>1-6#</vt:lpstr>
      <vt:lpstr>7、8#</vt:lpstr>
      <vt:lpstr>9、10、34# </vt:lpstr>
      <vt:lpstr>11、12#</vt:lpstr>
      <vt:lpstr>13、14#</vt:lpstr>
      <vt:lpstr>15、16#</vt:lpstr>
      <vt:lpstr>17-19#</vt:lpstr>
      <vt:lpstr>20~25#</vt:lpstr>
      <vt:lpstr>26~28#</vt:lpstr>
      <vt:lpstr>29、30#</vt:lpstr>
      <vt:lpstr>31~33#</vt:lpstr>
      <vt:lpstr>防雷接地</vt:lpstr>
      <vt:lpstr>电缆敷设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86137</cp:lastModifiedBy>
  <dcterms:created xsi:type="dcterms:W3CDTF">2017-03-07T17:33:00Z</dcterms:created>
  <dcterms:modified xsi:type="dcterms:W3CDTF">2022-12-06T02:26:00Z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  <property fmtid="{D5CDD505-2E9C-101B-9397-08002B2CF9AE}" pid="3" name="KSOProductBuildVer">
    <vt:lpwstr>2052-11.1.0.12651</vt:lpwstr>
  </property>
  <property fmtid="{D5CDD505-2E9C-101B-9397-08002B2CF9AE}" pid="4" name="ICV">
    <vt:lpwstr>E48EF0BF4DD945D1B3C1BD758E5B25A5</vt:lpwstr>
  </property>
</Properties>
</file>